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255" windowWidth="15480" windowHeight="8235" tabRatio="696" activeTab="0"/>
  </bookViews>
  <sheets>
    <sheet name="Général" sheetId="1" r:id="rId1"/>
    <sheet name="Voute" sheetId="2" state="hidden" r:id="rId2"/>
    <sheet name="Tablier" sheetId="3" r:id="rId3"/>
    <sheet name="Culées" sheetId="4" r:id="rId4"/>
    <sheet name="Piles" sheetId="5" r:id="rId5"/>
    <sheet name="Env" sheetId="6" r:id="rId6"/>
    <sheet name="Enregistrer" sheetId="7" r:id="rId7"/>
    <sheet name="Résumé" sheetId="8" state="hidden" r:id="rId8"/>
    <sheet name="Itinéraire" sheetId="9" r:id="rId9"/>
  </sheets>
  <definedNames>
    <definedName name="Z_7624EDCC_AFEE_4E45_AF39_84FE81FFE4CD_.wvu.Cols" localSheetId="3" hidden="1">'Culées'!$L:$Z</definedName>
    <definedName name="Z_7624EDCC_AFEE_4E45_AF39_84FE81FFE4CD_.wvu.Cols" localSheetId="6" hidden="1">'Enregistrer'!$L:$U</definedName>
    <definedName name="Z_7624EDCC_AFEE_4E45_AF39_84FE81FFE4CD_.wvu.PrintArea" localSheetId="0" hidden="1">'Général'!$A$1:$AB$122</definedName>
    <definedName name="Z_7624EDCC_AFEE_4E45_AF39_84FE81FFE4CD_.wvu.Rows" localSheetId="4" hidden="1">'Piles'!$20:$40</definedName>
    <definedName name="Z_7624EDCC_AFEE_4E45_AF39_84FE81FFE4CD_.wvu.Rows" localSheetId="2" hidden="1">'Tablier'!$51:$72</definedName>
    <definedName name="_xlnm.Print_Area" localSheetId="0">'Général'!$A$1:$AB$122</definedName>
  </definedNames>
  <calcPr fullCalcOnLoad="1"/>
</workbook>
</file>

<file path=xl/sharedStrings.xml><?xml version="1.0" encoding="utf-8"?>
<sst xmlns="http://schemas.openxmlformats.org/spreadsheetml/2006/main" count="827" uniqueCount="536">
  <si>
    <t>2- ACQUISITION DES DONNEES</t>
  </si>
  <si>
    <t>L'acquisition est effectuée par ouvrage.</t>
  </si>
  <si>
    <t>Pour répondre au questionnaire:</t>
  </si>
  <si>
    <t xml:space="preserve">Sélectionner la réponse adéquate en la cliquant à l'aide de la souris, </t>
  </si>
  <si>
    <t>3- FONCTIONS INTEGREES</t>
  </si>
  <si>
    <t>1- INTRODUCTION</t>
  </si>
  <si>
    <t>observés à travers le monde.</t>
  </si>
  <si>
    <t>(chapitre A).</t>
  </si>
  <si>
    <t>Ces fonctions intégrées permettent soit:</t>
  </si>
  <si>
    <t>d) de rappeler une saisie existante afin d'y modifier des données. Une procédure,</t>
  </si>
  <si>
    <t>les modifications sur la feuille de saisie et sur les tableaux et graphiques.</t>
  </si>
  <si>
    <t>incluse dans la saisie rappelée, permettra en bout de chaîne d'enregistrer automatiquement</t>
  </si>
  <si>
    <t>ou bien inscrire la réponse dans les cases de ce type:</t>
  </si>
  <si>
    <t>Dans tous les cas, lorsqu'il existe plusieurs possibilités, considérer la réponse la plus défavorable.</t>
  </si>
  <si>
    <t xml:space="preserve">EVALUATION  PRELIMINAIRE </t>
  </si>
  <si>
    <t>DE  LA  VULNERABILITE  AUX  SEISMES</t>
  </si>
  <si>
    <t>DES  OUVRAGES  D'ART  EXISTANTS</t>
  </si>
  <si>
    <t>ITINERAIRE</t>
  </si>
  <si>
    <t>NOM DE L'OUVRAGE</t>
  </si>
  <si>
    <t>A1- INDICE GENERAL</t>
  </si>
  <si>
    <t>A11- Méthode de calcul</t>
  </si>
  <si>
    <t>Forfaitaire 0,1g</t>
  </si>
  <si>
    <t>PS 92</t>
  </si>
  <si>
    <t>Statique</t>
  </si>
  <si>
    <t>Cadre ou portique</t>
  </si>
  <si>
    <t>Travées continues</t>
  </si>
  <si>
    <t>Travées indépendantes</t>
  </si>
  <si>
    <t>Pont en maçonnerie</t>
  </si>
  <si>
    <t>2E</t>
  </si>
  <si>
    <t>3U</t>
  </si>
  <si>
    <t>A)  EVALUATION  DE  L'INDICE DE  VULNERABILITE</t>
  </si>
  <si>
    <t xml:space="preserve">Itinéraire </t>
  </si>
  <si>
    <t xml:space="preserve">P. R. </t>
  </si>
  <si>
    <r>
      <t>V</t>
    </r>
    <r>
      <rPr>
        <b/>
        <vertAlign val="subscript"/>
        <sz val="12"/>
        <color indexed="12"/>
        <rFont val="Arial"/>
        <family val="2"/>
      </rPr>
      <t>général</t>
    </r>
    <r>
      <rPr>
        <b/>
        <sz val="12"/>
        <color indexed="12"/>
        <rFont val="Arial"/>
        <family val="2"/>
      </rPr>
      <t xml:space="preserve">    =</t>
    </r>
  </si>
  <si>
    <t>NOMBRE DE TRAVEES DE L'OUVRAGE :</t>
  </si>
  <si>
    <t>A12- Type d'ouvrage</t>
  </si>
  <si>
    <t>A13- Classe IQOA</t>
  </si>
  <si>
    <t>A21- Butées transversales</t>
  </si>
  <si>
    <t>Des butées transversales garantissent-elles contre le risque d'échappement transversal ?</t>
  </si>
  <si>
    <t>oui</t>
  </si>
  <si>
    <t>non</t>
  </si>
  <si>
    <t xml:space="preserve"> - </t>
  </si>
  <si>
    <t>A22- Risques d'échappement longitudinal et transversal</t>
  </si>
  <si>
    <t>Appui 0</t>
  </si>
  <si>
    <t>Appui 1</t>
  </si>
  <si>
    <t>Appui 2</t>
  </si>
  <si>
    <t>Appui 3</t>
  </si>
  <si>
    <t>Appui 4</t>
  </si>
  <si>
    <t>Appui 5</t>
  </si>
  <si>
    <t>Appui 6</t>
  </si>
  <si>
    <t>Appui 7</t>
  </si>
  <si>
    <t>Appui 8</t>
  </si>
  <si>
    <t>Appui 9</t>
  </si>
  <si>
    <t>Appui 10</t>
  </si>
  <si>
    <t>Appui 11</t>
  </si>
  <si>
    <t>Appui 12</t>
  </si>
  <si>
    <t>Travée 1</t>
  </si>
  <si>
    <t>Travée 2</t>
  </si>
  <si>
    <t>Travée 3</t>
  </si>
  <si>
    <t>Travée 4</t>
  </si>
  <si>
    <t>Travée 5</t>
  </si>
  <si>
    <t>Travée 6</t>
  </si>
  <si>
    <t>Travée 7</t>
  </si>
  <si>
    <t>Travée 8</t>
  </si>
  <si>
    <t>Travée 9</t>
  </si>
  <si>
    <t>Travée 10</t>
  </si>
  <si>
    <t>Travée 11</t>
  </si>
  <si>
    <t>Travée 12</t>
  </si>
  <si>
    <t>Longueur</t>
  </si>
  <si>
    <t>de travée</t>
  </si>
  <si>
    <t>Hauteur</t>
  </si>
  <si>
    <t>d'appui</t>
  </si>
  <si>
    <t>Type de repos</t>
  </si>
  <si>
    <t>d'appui longitudinal</t>
  </si>
  <si>
    <r>
      <t xml:space="preserve">L </t>
    </r>
    <r>
      <rPr>
        <sz val="10"/>
        <rFont val="Arial"/>
        <family val="2"/>
      </rPr>
      <t>(m)</t>
    </r>
  </si>
  <si>
    <r>
      <t xml:space="preserve">H </t>
    </r>
    <r>
      <rPr>
        <sz val="10"/>
        <rFont val="Arial"/>
        <family val="2"/>
      </rPr>
      <t>(m)</t>
    </r>
  </si>
  <si>
    <t>biais (degrés)</t>
  </si>
  <si>
    <t>Vlong</t>
  </si>
  <si>
    <t>Lc</t>
  </si>
  <si>
    <t>Ndu</t>
  </si>
  <si>
    <t>Appui</t>
  </si>
  <si>
    <r>
      <t>V</t>
    </r>
    <r>
      <rPr>
        <b/>
        <vertAlign val="subscript"/>
        <sz val="11"/>
        <rFont val="Arial"/>
        <family val="2"/>
      </rPr>
      <t>long</t>
    </r>
    <r>
      <rPr>
        <b/>
        <sz val="11"/>
        <rFont val="Arial"/>
        <family val="2"/>
      </rPr>
      <t xml:space="preserve"> =</t>
    </r>
  </si>
  <si>
    <t>Vlat</t>
  </si>
  <si>
    <t xml:space="preserve"> </t>
  </si>
  <si>
    <t>L'ouvrage présente-t-il une forte dissymétrie mécanique en élévation ?</t>
  </si>
  <si>
    <t xml:space="preserve"> -</t>
  </si>
  <si>
    <r>
      <t xml:space="preserve">R </t>
    </r>
    <r>
      <rPr>
        <sz val="11"/>
        <rFont val="Arial"/>
        <family val="2"/>
      </rPr>
      <t xml:space="preserve">(m) </t>
    </r>
    <r>
      <rPr>
        <b/>
        <sz val="11"/>
        <rFont val="Arial"/>
        <family val="2"/>
      </rPr>
      <t xml:space="preserve"> = </t>
    </r>
  </si>
  <si>
    <t xml:space="preserve">L/R  = </t>
  </si>
  <si>
    <t>Rcourbure</t>
  </si>
  <si>
    <r>
      <t xml:space="preserve">B </t>
    </r>
    <r>
      <rPr>
        <sz val="11"/>
        <rFont val="Arial"/>
        <family val="2"/>
      </rPr>
      <t xml:space="preserve">(m) </t>
    </r>
    <r>
      <rPr>
        <b/>
        <sz val="11"/>
        <rFont val="Arial"/>
        <family val="2"/>
      </rPr>
      <t xml:space="preserve"> = </t>
    </r>
  </si>
  <si>
    <t>nb_travées</t>
  </si>
  <si>
    <t>Quel est le rayon de courbure en plan de l'ouvrage ?</t>
  </si>
  <si>
    <t>Quelle est la largeur du tablier ?</t>
  </si>
  <si>
    <r>
      <t>K</t>
    </r>
    <r>
      <rPr>
        <vertAlign val="subscript"/>
        <sz val="10"/>
        <rFont val="Arial"/>
        <family val="2"/>
      </rPr>
      <t xml:space="preserve">rot </t>
    </r>
    <r>
      <rPr>
        <sz val="10"/>
        <rFont val="Arial"/>
        <family val="0"/>
      </rPr>
      <t xml:space="preserve"> = </t>
    </r>
  </si>
  <si>
    <t>Appareil d'appui fixe à pot (Vtap = 0,2)</t>
  </si>
  <si>
    <t>Appareil d'appui permettant la rotation seule (rouleau…) (Vtap = 0,5)</t>
  </si>
  <si>
    <t>Appareil d'appui permettant la rotation et la translation (Freyssinet à balancier, galet…) (Vtap = 0,5)</t>
  </si>
  <si>
    <t>Appareil d'appui de type Freyssinet à section rétrécie de béton (Vtap = 0,2)</t>
  </si>
  <si>
    <t>Le tablier est-il souple ou rigide ?</t>
  </si>
  <si>
    <t>Rigide</t>
  </si>
  <si>
    <t>Souple</t>
  </si>
  <si>
    <r>
      <t>V</t>
    </r>
    <r>
      <rPr>
        <b/>
        <vertAlign val="subscript"/>
        <sz val="12"/>
        <color indexed="12"/>
        <rFont val="Arial"/>
        <family val="2"/>
      </rPr>
      <t>tablier</t>
    </r>
    <r>
      <rPr>
        <b/>
        <sz val="12"/>
        <color indexed="12"/>
        <rFont val="Arial"/>
        <family val="2"/>
      </rPr>
      <t xml:space="preserve">   =</t>
    </r>
  </si>
  <si>
    <t>Epaisseur du tablier à la naissance des voûtes ?</t>
  </si>
  <si>
    <r>
      <t>h</t>
    </r>
    <r>
      <rPr>
        <b/>
        <vertAlign val="subscript"/>
        <sz val="11"/>
        <rFont val="Arial"/>
        <family val="2"/>
      </rPr>
      <t>1</t>
    </r>
    <r>
      <rPr>
        <b/>
        <sz val="11"/>
        <rFont val="Arial"/>
        <family val="2"/>
      </rPr>
      <t xml:space="preserve"> </t>
    </r>
    <r>
      <rPr>
        <sz val="11"/>
        <rFont val="Arial"/>
        <family val="2"/>
      </rPr>
      <t xml:space="preserve">(m) </t>
    </r>
    <r>
      <rPr>
        <b/>
        <sz val="11"/>
        <rFont val="Arial"/>
        <family val="2"/>
      </rPr>
      <t xml:space="preserve"> = </t>
    </r>
  </si>
  <si>
    <r>
      <t>h</t>
    </r>
    <r>
      <rPr>
        <b/>
        <vertAlign val="subscript"/>
        <sz val="11"/>
        <rFont val="Arial"/>
        <family val="2"/>
      </rPr>
      <t>2</t>
    </r>
    <r>
      <rPr>
        <b/>
        <sz val="11"/>
        <rFont val="Arial"/>
        <family val="2"/>
      </rPr>
      <t xml:space="preserve"> </t>
    </r>
    <r>
      <rPr>
        <sz val="11"/>
        <rFont val="Arial"/>
        <family val="2"/>
      </rPr>
      <t xml:space="preserve">(m) </t>
    </r>
    <r>
      <rPr>
        <b/>
        <sz val="11"/>
        <rFont val="Arial"/>
        <family val="2"/>
      </rPr>
      <t xml:space="preserve"> = </t>
    </r>
  </si>
  <si>
    <t>Epaisseur du tablier à la clé ?</t>
  </si>
  <si>
    <t>hcdg</t>
  </si>
  <si>
    <t>xcdg</t>
  </si>
  <si>
    <r>
      <t>h</t>
    </r>
    <r>
      <rPr>
        <vertAlign val="subscript"/>
        <sz val="10"/>
        <rFont val="Arial"/>
        <family val="2"/>
      </rPr>
      <t xml:space="preserve">equi </t>
    </r>
    <r>
      <rPr>
        <sz val="10"/>
        <rFont val="Arial"/>
        <family val="0"/>
      </rPr>
      <t>(m) =</t>
    </r>
  </si>
  <si>
    <r>
      <t>V</t>
    </r>
    <r>
      <rPr>
        <b/>
        <vertAlign val="subscript"/>
        <sz val="12"/>
        <color indexed="12"/>
        <rFont val="Arial"/>
        <family val="2"/>
      </rPr>
      <t>rsc</t>
    </r>
    <r>
      <rPr>
        <b/>
        <sz val="12"/>
        <color indexed="12"/>
        <rFont val="Arial"/>
        <family val="2"/>
      </rPr>
      <t xml:space="preserve">   =</t>
    </r>
  </si>
  <si>
    <t>Quelle est la hauteur H définie sur les schémas ci-dessus ?</t>
  </si>
  <si>
    <r>
      <t xml:space="preserve">H </t>
    </r>
    <r>
      <rPr>
        <sz val="11"/>
        <rFont val="Arial"/>
        <family val="2"/>
      </rPr>
      <t xml:space="preserve">(m) </t>
    </r>
    <r>
      <rPr>
        <b/>
        <sz val="11"/>
        <rFont val="Arial"/>
        <family val="2"/>
      </rPr>
      <t xml:space="preserve"> = </t>
    </r>
  </si>
  <si>
    <t>A32- Vulnérabilité longitudinale</t>
  </si>
  <si>
    <t>A33- Vulnérabilité latérale</t>
  </si>
  <si>
    <t>Quelle disposition rencontre-t-on latéralement aux culées ?</t>
  </si>
  <si>
    <t>A4- VULNERABILITE DES PILES</t>
  </si>
  <si>
    <t>A3- VULNERABILITE DES CULEES</t>
  </si>
  <si>
    <t>A41- Type de liaison avec le tablier</t>
  </si>
  <si>
    <t>Longitudinalement</t>
  </si>
  <si>
    <t>Transversalement</t>
  </si>
  <si>
    <r>
      <t>H</t>
    </r>
    <r>
      <rPr>
        <vertAlign val="subscript"/>
        <sz val="10"/>
        <rFont val="Arial"/>
        <family val="2"/>
      </rPr>
      <t>0</t>
    </r>
    <r>
      <rPr>
        <sz val="10"/>
        <rFont val="Arial"/>
        <family val="0"/>
      </rPr>
      <t xml:space="preserve"> =</t>
    </r>
  </si>
  <si>
    <r>
      <t>H</t>
    </r>
    <r>
      <rPr>
        <vertAlign val="subscript"/>
        <sz val="10"/>
        <rFont val="Arial"/>
        <family val="2"/>
      </rPr>
      <t>1</t>
    </r>
    <r>
      <rPr>
        <sz val="10"/>
        <rFont val="Arial"/>
        <family val="0"/>
      </rPr>
      <t xml:space="preserve"> =</t>
    </r>
  </si>
  <si>
    <r>
      <t>H</t>
    </r>
    <r>
      <rPr>
        <vertAlign val="subscript"/>
        <sz val="10"/>
        <rFont val="Arial"/>
        <family val="2"/>
      </rPr>
      <t>2</t>
    </r>
    <r>
      <rPr>
        <sz val="10"/>
        <rFont val="Arial"/>
        <family val="0"/>
      </rPr>
      <t xml:space="preserve"> =</t>
    </r>
  </si>
  <si>
    <r>
      <t>H</t>
    </r>
    <r>
      <rPr>
        <vertAlign val="subscript"/>
        <sz val="10"/>
        <rFont val="Arial"/>
        <family val="2"/>
      </rPr>
      <t>3</t>
    </r>
    <r>
      <rPr>
        <sz val="10"/>
        <rFont val="Arial"/>
        <family val="0"/>
      </rPr>
      <t xml:space="preserve"> =</t>
    </r>
  </si>
  <si>
    <r>
      <t>H</t>
    </r>
    <r>
      <rPr>
        <vertAlign val="subscript"/>
        <sz val="10"/>
        <rFont val="Arial"/>
        <family val="2"/>
      </rPr>
      <t>4</t>
    </r>
    <r>
      <rPr>
        <sz val="10"/>
        <rFont val="Arial"/>
        <family val="0"/>
      </rPr>
      <t xml:space="preserve"> =</t>
    </r>
  </si>
  <si>
    <r>
      <t>H</t>
    </r>
    <r>
      <rPr>
        <vertAlign val="subscript"/>
        <sz val="10"/>
        <rFont val="Arial"/>
        <family val="2"/>
      </rPr>
      <t>5</t>
    </r>
    <r>
      <rPr>
        <sz val="10"/>
        <rFont val="Arial"/>
        <family val="0"/>
      </rPr>
      <t xml:space="preserve"> =</t>
    </r>
  </si>
  <si>
    <r>
      <t>H</t>
    </r>
    <r>
      <rPr>
        <vertAlign val="subscript"/>
        <sz val="10"/>
        <rFont val="Arial"/>
        <family val="2"/>
      </rPr>
      <t>6</t>
    </r>
    <r>
      <rPr>
        <sz val="10"/>
        <rFont val="Arial"/>
        <family val="0"/>
      </rPr>
      <t xml:space="preserve"> =</t>
    </r>
  </si>
  <si>
    <r>
      <t>H</t>
    </r>
    <r>
      <rPr>
        <vertAlign val="subscript"/>
        <sz val="10"/>
        <rFont val="Arial"/>
        <family val="2"/>
      </rPr>
      <t>7</t>
    </r>
    <r>
      <rPr>
        <sz val="10"/>
        <rFont val="Arial"/>
        <family val="0"/>
      </rPr>
      <t xml:space="preserve"> =</t>
    </r>
  </si>
  <si>
    <r>
      <t>H</t>
    </r>
    <r>
      <rPr>
        <vertAlign val="subscript"/>
        <sz val="10"/>
        <rFont val="Arial"/>
        <family val="2"/>
      </rPr>
      <t>8</t>
    </r>
    <r>
      <rPr>
        <sz val="10"/>
        <rFont val="Arial"/>
        <family val="0"/>
      </rPr>
      <t xml:space="preserve"> =</t>
    </r>
  </si>
  <si>
    <r>
      <t>H</t>
    </r>
    <r>
      <rPr>
        <vertAlign val="subscript"/>
        <sz val="10"/>
        <rFont val="Arial"/>
        <family val="2"/>
      </rPr>
      <t>9</t>
    </r>
    <r>
      <rPr>
        <sz val="10"/>
        <rFont val="Arial"/>
        <family val="0"/>
      </rPr>
      <t xml:space="preserve"> =</t>
    </r>
  </si>
  <si>
    <r>
      <t>H</t>
    </r>
    <r>
      <rPr>
        <vertAlign val="subscript"/>
        <sz val="10"/>
        <rFont val="Arial"/>
        <family val="2"/>
      </rPr>
      <t>10</t>
    </r>
    <r>
      <rPr>
        <sz val="10"/>
        <rFont val="Arial"/>
        <family val="0"/>
      </rPr>
      <t xml:space="preserve"> =</t>
    </r>
  </si>
  <si>
    <r>
      <t>H</t>
    </r>
    <r>
      <rPr>
        <vertAlign val="subscript"/>
        <sz val="10"/>
        <rFont val="Arial"/>
        <family val="2"/>
      </rPr>
      <t>11</t>
    </r>
    <r>
      <rPr>
        <sz val="10"/>
        <rFont val="Arial"/>
        <family val="0"/>
      </rPr>
      <t xml:space="preserve"> =</t>
    </r>
  </si>
  <si>
    <r>
      <t>H</t>
    </r>
    <r>
      <rPr>
        <vertAlign val="subscript"/>
        <sz val="10"/>
        <rFont val="Arial"/>
        <family val="2"/>
      </rPr>
      <t>12</t>
    </r>
    <r>
      <rPr>
        <sz val="10"/>
        <rFont val="Arial"/>
        <family val="0"/>
      </rPr>
      <t xml:space="preserve"> =</t>
    </r>
  </si>
  <si>
    <t>A42- Type de piles</t>
  </si>
  <si>
    <t>Voiles</t>
  </si>
  <si>
    <t>Colonnes multiples</t>
  </si>
  <si>
    <t>Fûts massifs</t>
  </si>
  <si>
    <t>Piles-marteaux</t>
  </si>
  <si>
    <t>Quel est le type de piles ?</t>
  </si>
  <si>
    <t>Tablier lourd</t>
  </si>
  <si>
    <t>Tablier léger</t>
  </si>
  <si>
    <t>Quelle est la masse du tablier supporté ?</t>
  </si>
  <si>
    <t>mt</t>
  </si>
  <si>
    <t>Vpt</t>
  </si>
  <si>
    <t>Hmax</t>
  </si>
  <si>
    <t>Hmin</t>
  </si>
  <si>
    <t>nl</t>
  </si>
  <si>
    <t>nt</t>
  </si>
  <si>
    <t>alpha</t>
  </si>
  <si>
    <t>Kregl</t>
  </si>
  <si>
    <t>Vpl</t>
  </si>
  <si>
    <t>Kaal</t>
  </si>
  <si>
    <t>A23- Données générales sur la géométrie de l'ouvrage</t>
  </si>
  <si>
    <t>A24- Sensibilité à la rotation du tablier</t>
  </si>
  <si>
    <t>A25- Types d'appareils d'appuis</t>
  </si>
  <si>
    <t>Renseignement</t>
  </si>
  <si>
    <t>sensibilité</t>
  </si>
  <si>
    <t>A2- VULNERABILITE DES VOUTES EN MACONNERIE</t>
  </si>
  <si>
    <t>A2- VULNERABILITE DU TABLIER</t>
  </si>
  <si>
    <t>A51- Types de fondations</t>
  </si>
  <si>
    <t>Fondations superficielles</t>
  </si>
  <si>
    <t>Fondations profondes</t>
  </si>
  <si>
    <t>Fondations semi-profondes</t>
  </si>
  <si>
    <r>
      <t>V</t>
    </r>
    <r>
      <rPr>
        <b/>
        <vertAlign val="subscript"/>
        <sz val="12"/>
        <color indexed="12"/>
        <rFont val="Arial"/>
        <family val="2"/>
      </rPr>
      <t xml:space="preserve">piles </t>
    </r>
    <r>
      <rPr>
        <b/>
        <sz val="12"/>
        <color indexed="12"/>
        <rFont val="Arial"/>
        <family val="2"/>
      </rPr>
      <t xml:space="preserve">  =</t>
    </r>
  </si>
  <si>
    <r>
      <t>V</t>
    </r>
    <r>
      <rPr>
        <b/>
        <vertAlign val="subscript"/>
        <sz val="12"/>
        <color indexed="12"/>
        <rFont val="Arial"/>
        <family val="2"/>
      </rPr>
      <t xml:space="preserve">culées </t>
    </r>
    <r>
      <rPr>
        <b/>
        <sz val="12"/>
        <color indexed="12"/>
        <rFont val="Arial"/>
        <family val="2"/>
      </rPr>
      <t xml:space="preserve">  =</t>
    </r>
  </si>
  <si>
    <r>
      <t>V</t>
    </r>
    <r>
      <rPr>
        <vertAlign val="subscript"/>
        <sz val="10"/>
        <rFont val="Arial"/>
        <family val="2"/>
      </rPr>
      <t>méth</t>
    </r>
  </si>
  <si>
    <r>
      <t>V</t>
    </r>
    <r>
      <rPr>
        <vertAlign val="subscript"/>
        <sz val="10"/>
        <rFont val="Arial"/>
        <family val="2"/>
      </rPr>
      <t>type</t>
    </r>
  </si>
  <si>
    <r>
      <t>V</t>
    </r>
    <r>
      <rPr>
        <vertAlign val="subscript"/>
        <sz val="10"/>
        <rFont val="Arial"/>
        <family val="2"/>
      </rPr>
      <t>état</t>
    </r>
  </si>
  <si>
    <r>
      <t>V</t>
    </r>
    <r>
      <rPr>
        <vertAlign val="subscript"/>
        <sz val="10"/>
        <rFont val="Arial"/>
        <family val="2"/>
      </rPr>
      <t>long</t>
    </r>
  </si>
  <si>
    <r>
      <t>V</t>
    </r>
    <r>
      <rPr>
        <vertAlign val="subscript"/>
        <sz val="10"/>
        <rFont val="Arial"/>
        <family val="2"/>
      </rPr>
      <t>lat</t>
    </r>
  </si>
  <si>
    <r>
      <t>V</t>
    </r>
    <r>
      <rPr>
        <vertAlign val="subscript"/>
        <sz val="10"/>
        <rFont val="Arial"/>
        <family val="2"/>
      </rPr>
      <t>app</t>
    </r>
  </si>
  <si>
    <r>
      <t>V</t>
    </r>
    <r>
      <rPr>
        <vertAlign val="subscript"/>
        <sz val="10"/>
        <rFont val="Arial"/>
        <family val="2"/>
      </rPr>
      <t>clong</t>
    </r>
  </si>
  <si>
    <r>
      <t>V</t>
    </r>
    <r>
      <rPr>
        <vertAlign val="subscript"/>
        <sz val="10"/>
        <rFont val="Arial"/>
        <family val="2"/>
      </rPr>
      <t>clat</t>
    </r>
  </si>
  <si>
    <r>
      <t>V</t>
    </r>
    <r>
      <rPr>
        <vertAlign val="subscript"/>
        <sz val="10"/>
        <rFont val="Arial"/>
        <family val="2"/>
      </rPr>
      <t>plong</t>
    </r>
  </si>
  <si>
    <r>
      <t>V</t>
    </r>
    <r>
      <rPr>
        <vertAlign val="subscript"/>
        <sz val="10"/>
        <rFont val="Arial"/>
        <family val="2"/>
      </rPr>
      <t>plat</t>
    </r>
  </si>
  <si>
    <r>
      <t>V</t>
    </r>
    <r>
      <rPr>
        <vertAlign val="subscript"/>
        <sz val="10"/>
        <rFont val="Arial"/>
        <family val="2"/>
      </rPr>
      <t>sol</t>
    </r>
  </si>
  <si>
    <r>
      <t>V</t>
    </r>
    <r>
      <rPr>
        <vertAlign val="subscript"/>
        <sz val="10"/>
        <rFont val="Arial"/>
        <family val="2"/>
      </rPr>
      <t>glis</t>
    </r>
  </si>
  <si>
    <r>
      <t>V</t>
    </r>
    <r>
      <rPr>
        <b/>
        <vertAlign val="subscript"/>
        <sz val="10"/>
        <rFont val="Arial"/>
        <family val="2"/>
      </rPr>
      <t>général</t>
    </r>
  </si>
  <si>
    <r>
      <t>V</t>
    </r>
    <r>
      <rPr>
        <b/>
        <vertAlign val="subscript"/>
        <sz val="11"/>
        <color indexed="12"/>
        <rFont val="Arial"/>
        <family val="2"/>
      </rPr>
      <t>général</t>
    </r>
  </si>
  <si>
    <r>
      <t>V</t>
    </r>
    <r>
      <rPr>
        <vertAlign val="subscript"/>
        <sz val="10"/>
        <color indexed="12"/>
        <rFont val="Arial"/>
        <family val="2"/>
      </rPr>
      <t>rsc</t>
    </r>
  </si>
  <si>
    <r>
      <t>V</t>
    </r>
    <r>
      <rPr>
        <vertAlign val="subscript"/>
        <sz val="10"/>
        <color indexed="12"/>
        <rFont val="Arial"/>
        <family val="2"/>
      </rPr>
      <t>tablier</t>
    </r>
  </si>
  <si>
    <r>
      <t>V</t>
    </r>
    <r>
      <rPr>
        <vertAlign val="subscript"/>
        <sz val="10"/>
        <color indexed="12"/>
        <rFont val="Arial"/>
        <family val="2"/>
      </rPr>
      <t>culées</t>
    </r>
  </si>
  <si>
    <r>
      <t>V</t>
    </r>
    <r>
      <rPr>
        <vertAlign val="subscript"/>
        <sz val="10"/>
        <color indexed="12"/>
        <rFont val="Arial"/>
        <family val="2"/>
      </rPr>
      <t>piles</t>
    </r>
  </si>
  <si>
    <r>
      <t>V</t>
    </r>
    <r>
      <rPr>
        <vertAlign val="subscript"/>
        <sz val="10"/>
        <color indexed="12"/>
        <rFont val="Arial"/>
        <family val="2"/>
      </rPr>
      <t>fondations</t>
    </r>
  </si>
  <si>
    <t>Général</t>
  </si>
  <si>
    <t>Nom</t>
  </si>
  <si>
    <t>Tablier</t>
  </si>
  <si>
    <t>butées trans</t>
  </si>
  <si>
    <t>travées</t>
  </si>
  <si>
    <t>H_appuis</t>
  </si>
  <si>
    <t>Type_repos</t>
  </si>
  <si>
    <t>NdeL</t>
  </si>
  <si>
    <t>NdeT</t>
  </si>
  <si>
    <t>dissymétrie</t>
  </si>
  <si>
    <t>type_app</t>
  </si>
  <si>
    <t>souplesse</t>
  </si>
  <si>
    <t>Largeur</t>
  </si>
  <si>
    <t>Culées</t>
  </si>
  <si>
    <t>type</t>
  </si>
  <si>
    <t>H</t>
  </si>
  <si>
    <t>type_latéral</t>
  </si>
  <si>
    <t>Piles</t>
  </si>
  <si>
    <t>type app long</t>
  </si>
  <si>
    <t>type app trans</t>
  </si>
  <si>
    <t>type piles</t>
  </si>
  <si>
    <t>masse tab</t>
  </si>
  <si>
    <t>Fondations</t>
  </si>
  <si>
    <t>liquéfaction</t>
  </si>
  <si>
    <t>glissement</t>
  </si>
  <si>
    <r>
      <t>V</t>
    </r>
    <r>
      <rPr>
        <b/>
        <vertAlign val="subscript"/>
        <sz val="10"/>
        <rFont val="Arial"/>
        <family val="2"/>
      </rPr>
      <t>tablier</t>
    </r>
  </si>
  <si>
    <r>
      <t>V</t>
    </r>
    <r>
      <rPr>
        <b/>
        <vertAlign val="subscript"/>
        <sz val="10"/>
        <rFont val="Arial"/>
        <family val="2"/>
      </rPr>
      <t>culées</t>
    </r>
  </si>
  <si>
    <r>
      <t>V</t>
    </r>
    <r>
      <rPr>
        <b/>
        <vertAlign val="subscript"/>
        <sz val="10"/>
        <rFont val="Arial"/>
        <family val="2"/>
      </rPr>
      <t>piles</t>
    </r>
  </si>
  <si>
    <t>V</t>
  </si>
  <si>
    <t>A31- Types de culées (autres que les piédroits de portiques)</t>
  </si>
  <si>
    <r>
      <t xml:space="preserve">Biais de l'ouvrage ( = angle </t>
    </r>
    <r>
      <rPr>
        <sz val="10"/>
        <color indexed="12"/>
        <rFont val="Arial"/>
        <family val="2"/>
      </rPr>
      <t>aigu</t>
    </r>
    <r>
      <rPr>
        <sz val="10"/>
        <rFont val="Arial"/>
        <family val="2"/>
      </rPr>
      <t xml:space="preserve"> entre l'axe des appuis et le tablier) en grades (pour un ouvrage droit, biais = 100 gr)</t>
    </r>
  </si>
  <si>
    <t>Kaat</t>
  </si>
  <si>
    <t>Kregt</t>
  </si>
  <si>
    <t>Caissons</t>
  </si>
  <si>
    <r>
      <t>V</t>
    </r>
    <r>
      <rPr>
        <b/>
        <vertAlign val="subscript"/>
        <sz val="10"/>
        <color indexed="13"/>
        <rFont val="Arial"/>
        <family val="2"/>
      </rPr>
      <t>général</t>
    </r>
  </si>
  <si>
    <r>
      <t>V</t>
    </r>
    <r>
      <rPr>
        <b/>
        <vertAlign val="subscript"/>
        <sz val="10"/>
        <color indexed="13"/>
        <rFont val="Arial"/>
        <family val="2"/>
      </rPr>
      <t>tablier</t>
    </r>
  </si>
  <si>
    <r>
      <t>V</t>
    </r>
    <r>
      <rPr>
        <b/>
        <vertAlign val="subscript"/>
        <sz val="10"/>
        <color indexed="13"/>
        <rFont val="Arial"/>
        <family val="2"/>
      </rPr>
      <t>culées</t>
    </r>
  </si>
  <si>
    <r>
      <t>V</t>
    </r>
    <r>
      <rPr>
        <b/>
        <vertAlign val="subscript"/>
        <sz val="10"/>
        <color indexed="13"/>
        <rFont val="Arial"/>
        <family val="2"/>
      </rPr>
      <t>piles</t>
    </r>
  </si>
  <si>
    <t>L'évaluation préliminaire de la vulnérabilité aux séismes des ouvages d'art existants repose sur une</t>
  </si>
  <si>
    <t>méthode empirique, basée sur l'analyse qualitative des dommages d'origine sismique, réellement</t>
  </si>
  <si>
    <t>La méthode ne s'applique qu'aux seuls ouvrages d'art.</t>
  </si>
  <si>
    <t>La vulnérabilité au séisme d'un ouvrage d'art existant est évaluée par son indice global de vulnérabilité V</t>
  </si>
  <si>
    <t>Le risque sismique sur un ouvrage d'art existant est évalué par son indice de risque R</t>
  </si>
  <si>
    <t>Une fois l'acquisition d'un ou de plusieurs ouvrages terminée, les résultats peuvent être rassemblés,</t>
  </si>
  <si>
    <t>enregistrés et imprimés en cliquant dans les icônes situées en bout de chaîne (feuille "Général").</t>
  </si>
  <si>
    <t>b) d'imprimer la présente feuille d'acquisition ;</t>
  </si>
  <si>
    <t>c) d'imprimer l'ensemble des résultats sous forme de tableau et graphiques ;</t>
  </si>
  <si>
    <t>Facteur d'amplification du repos d'appui minimal</t>
  </si>
  <si>
    <t>Appareil d'appui glissant (Vtap = 0,0)</t>
  </si>
  <si>
    <t>Appareil d'appui en élastomère fretté (Vtap = 0,1)</t>
  </si>
  <si>
    <t>Culée à mur de front - mur "poids" (Vctlong = 1,0)</t>
  </si>
  <si>
    <t>Culée à mur de front - voile en "béton armé" (Vctlong = 0,7)</t>
  </si>
  <si>
    <t>Culée creuse (Vctlong = 0,3)</t>
  </si>
  <si>
    <t>Murs "poids" latéraux (Vctlat = 1,0)</t>
  </si>
  <si>
    <t>Voiles en "béton armé" (Vctlat = 0,7)</t>
  </si>
  <si>
    <t>Murs en" terre armée" (Vctlat = 0,5)</t>
  </si>
  <si>
    <t>Talus (Vctlat = 0,3)</t>
  </si>
  <si>
    <r>
      <t>NdeL</t>
    </r>
    <r>
      <rPr>
        <sz val="10"/>
        <rFont val="Arial"/>
        <family val="2"/>
      </rPr>
      <t xml:space="preserve"> (cm)</t>
    </r>
  </si>
  <si>
    <r>
      <t xml:space="preserve">NdeT </t>
    </r>
    <r>
      <rPr>
        <sz val="10"/>
        <rFont val="Arial"/>
        <family val="2"/>
      </rPr>
      <t>(cm)</t>
    </r>
  </si>
  <si>
    <t xml:space="preserve">NdeT </t>
  </si>
  <si>
    <t>TMJA/RN</t>
  </si>
  <si>
    <t>OUI</t>
  </si>
  <si>
    <t>NON</t>
  </si>
  <si>
    <t>Enregistrez votre saisie en cliquant ci-contre:</t>
  </si>
  <si>
    <t>Ouvrage/Nom</t>
  </si>
  <si>
    <t>Nbres voies/RN</t>
  </si>
  <si>
    <t>Long.détour</t>
  </si>
  <si>
    <t>Nbres voies/dév</t>
  </si>
  <si>
    <t>TMJA/dév</t>
  </si>
  <si>
    <t>a) d'enregistrer la saisie du lot d'ouvrages dans un tableau de résultats ;</t>
  </si>
  <si>
    <r>
      <t>V</t>
    </r>
    <r>
      <rPr>
        <b/>
        <vertAlign val="subscript"/>
        <sz val="10"/>
        <rFont val="Arial"/>
        <family val="2"/>
      </rPr>
      <t xml:space="preserve">type </t>
    </r>
    <r>
      <rPr>
        <b/>
        <sz val="10"/>
        <rFont val="Arial"/>
        <family val="2"/>
      </rPr>
      <t>=</t>
    </r>
  </si>
  <si>
    <r>
      <t>V</t>
    </r>
    <r>
      <rPr>
        <b/>
        <vertAlign val="subscript"/>
        <sz val="10"/>
        <rFont val="Arial"/>
        <family val="2"/>
      </rPr>
      <t>état</t>
    </r>
    <r>
      <rPr>
        <b/>
        <sz val="10"/>
        <rFont val="Arial"/>
        <family val="2"/>
      </rPr>
      <t xml:space="preserve"> =</t>
    </r>
  </si>
  <si>
    <r>
      <t>V</t>
    </r>
    <r>
      <rPr>
        <b/>
        <vertAlign val="subscript"/>
        <sz val="10"/>
        <rFont val="Arial"/>
        <family val="2"/>
      </rPr>
      <t>méth</t>
    </r>
    <r>
      <rPr>
        <b/>
        <sz val="10"/>
        <rFont val="Arial"/>
        <family val="2"/>
      </rPr>
      <t xml:space="preserve"> =</t>
    </r>
  </si>
  <si>
    <r>
      <t>V</t>
    </r>
    <r>
      <rPr>
        <b/>
        <vertAlign val="subscript"/>
        <sz val="10"/>
        <rFont val="Arial"/>
        <family val="2"/>
      </rPr>
      <t>lat</t>
    </r>
    <r>
      <rPr>
        <b/>
        <sz val="10"/>
        <rFont val="Arial"/>
        <family val="2"/>
      </rPr>
      <t xml:space="preserve"> =</t>
    </r>
  </si>
  <si>
    <r>
      <t>V</t>
    </r>
    <r>
      <rPr>
        <b/>
        <vertAlign val="subscript"/>
        <sz val="10"/>
        <rFont val="Arial"/>
        <family val="2"/>
      </rPr>
      <t>app</t>
    </r>
    <r>
      <rPr>
        <b/>
        <sz val="10"/>
        <rFont val="Arial"/>
        <family val="2"/>
      </rPr>
      <t xml:space="preserve"> =</t>
    </r>
  </si>
  <si>
    <r>
      <t>V</t>
    </r>
    <r>
      <rPr>
        <b/>
        <vertAlign val="subscript"/>
        <sz val="10"/>
        <rFont val="Arial"/>
        <family val="2"/>
      </rPr>
      <t xml:space="preserve">clat </t>
    </r>
    <r>
      <rPr>
        <b/>
        <sz val="10"/>
        <rFont val="Arial"/>
        <family val="2"/>
      </rPr>
      <t>=</t>
    </r>
  </si>
  <si>
    <r>
      <t>V</t>
    </r>
    <r>
      <rPr>
        <b/>
        <vertAlign val="subscript"/>
        <sz val="10"/>
        <rFont val="Arial"/>
        <family val="2"/>
      </rPr>
      <t xml:space="preserve">clong </t>
    </r>
    <r>
      <rPr>
        <b/>
        <sz val="10"/>
        <rFont val="Arial"/>
        <family val="2"/>
      </rPr>
      <t>=</t>
    </r>
  </si>
  <si>
    <r>
      <t>V</t>
    </r>
    <r>
      <rPr>
        <b/>
        <vertAlign val="subscript"/>
        <sz val="10"/>
        <rFont val="Arial"/>
        <family val="2"/>
      </rPr>
      <t>plong</t>
    </r>
    <r>
      <rPr>
        <b/>
        <sz val="10"/>
        <rFont val="Arial"/>
        <family val="2"/>
      </rPr>
      <t xml:space="preserve"> =</t>
    </r>
  </si>
  <si>
    <r>
      <t>V</t>
    </r>
    <r>
      <rPr>
        <b/>
        <vertAlign val="subscript"/>
        <sz val="10"/>
        <rFont val="Arial"/>
        <family val="2"/>
      </rPr>
      <t>plat</t>
    </r>
    <r>
      <rPr>
        <b/>
        <sz val="10"/>
        <rFont val="Arial"/>
        <family val="2"/>
      </rPr>
      <t xml:space="preserve"> =</t>
    </r>
  </si>
  <si>
    <t>Vuln. dév</t>
  </si>
  <si>
    <t>A21-Epaisseur du tablier</t>
  </si>
  <si>
    <t>A22- Culées et murs en retour</t>
  </si>
  <si>
    <r>
      <t>L</t>
    </r>
    <r>
      <rPr>
        <sz val="10"/>
        <rFont val="Arial"/>
        <family val="2"/>
      </rPr>
      <t>t (m) =</t>
    </r>
  </si>
  <si>
    <r>
      <t>L</t>
    </r>
    <r>
      <rPr>
        <sz val="10"/>
        <rFont val="Arial"/>
        <family val="2"/>
      </rPr>
      <t>p (m) =</t>
    </r>
  </si>
  <si>
    <r>
      <t>h</t>
    </r>
    <r>
      <rPr>
        <sz val="10"/>
        <rFont val="Arial"/>
        <family val="2"/>
      </rPr>
      <t>1 (m) =</t>
    </r>
  </si>
  <si>
    <r>
      <t>h</t>
    </r>
    <r>
      <rPr>
        <sz val="10"/>
        <rFont val="Arial"/>
        <family val="2"/>
      </rPr>
      <t>p (m) =</t>
    </r>
  </si>
  <si>
    <t>Longueur du mur en pied :</t>
  </si>
  <si>
    <t>Epaisseur maxi de la voute:</t>
  </si>
  <si>
    <t xml:space="preserve">Présence de tirants  passifs: </t>
  </si>
  <si>
    <r>
      <t>V</t>
    </r>
    <r>
      <rPr>
        <b/>
        <vertAlign val="subscript"/>
        <sz val="12"/>
        <color indexed="12"/>
        <rFont val="Arial"/>
        <family val="2"/>
      </rPr>
      <t>voute</t>
    </r>
    <r>
      <rPr>
        <b/>
        <sz val="12"/>
        <color indexed="12"/>
        <rFont val="Arial"/>
        <family val="2"/>
      </rPr>
      <t xml:space="preserve">  =</t>
    </r>
  </si>
  <si>
    <r>
      <t>V</t>
    </r>
    <r>
      <rPr>
        <b/>
        <vertAlign val="subscript"/>
        <sz val="12"/>
        <color indexed="12"/>
        <rFont val="Arial"/>
        <family val="2"/>
      </rPr>
      <t>mc</t>
    </r>
    <r>
      <rPr>
        <b/>
        <sz val="12"/>
        <color indexed="12"/>
        <rFont val="Arial"/>
        <family val="2"/>
      </rPr>
      <t xml:space="preserve">  =</t>
    </r>
  </si>
  <si>
    <r>
      <t>V</t>
    </r>
    <r>
      <rPr>
        <b/>
        <vertAlign val="subscript"/>
        <sz val="10"/>
        <color indexed="13"/>
        <rFont val="Arial"/>
        <family val="2"/>
      </rPr>
      <t>voute</t>
    </r>
  </si>
  <si>
    <r>
      <t>V</t>
    </r>
    <r>
      <rPr>
        <b/>
        <vertAlign val="subscript"/>
        <sz val="10"/>
        <rFont val="Arial"/>
        <family val="2"/>
      </rPr>
      <t>voute</t>
    </r>
  </si>
  <si>
    <t>Hauteur du piédroit :</t>
  </si>
  <si>
    <r>
      <t>V</t>
    </r>
    <r>
      <rPr>
        <vertAlign val="subscript"/>
        <sz val="9"/>
        <rFont val="Arial"/>
        <family val="2"/>
      </rPr>
      <t>méth</t>
    </r>
  </si>
  <si>
    <r>
      <t>V</t>
    </r>
    <r>
      <rPr>
        <vertAlign val="subscript"/>
        <sz val="9"/>
        <rFont val="Arial"/>
        <family val="2"/>
      </rPr>
      <t>type</t>
    </r>
  </si>
  <si>
    <r>
      <t>V</t>
    </r>
    <r>
      <rPr>
        <vertAlign val="subscript"/>
        <sz val="9"/>
        <rFont val="Arial"/>
        <family val="2"/>
      </rPr>
      <t>état</t>
    </r>
  </si>
  <si>
    <r>
      <t>V</t>
    </r>
    <r>
      <rPr>
        <b/>
        <vertAlign val="subscript"/>
        <sz val="9"/>
        <rFont val="Arial"/>
        <family val="2"/>
      </rPr>
      <t>général</t>
    </r>
  </si>
  <si>
    <r>
      <t>V</t>
    </r>
    <r>
      <rPr>
        <vertAlign val="subscript"/>
        <sz val="9"/>
        <rFont val="Arial"/>
        <family val="2"/>
      </rPr>
      <t>long</t>
    </r>
  </si>
  <si>
    <r>
      <t>V</t>
    </r>
    <r>
      <rPr>
        <vertAlign val="subscript"/>
        <sz val="9"/>
        <rFont val="Arial"/>
        <family val="2"/>
      </rPr>
      <t>lat</t>
    </r>
  </si>
  <si>
    <r>
      <t>V</t>
    </r>
    <r>
      <rPr>
        <vertAlign val="subscript"/>
        <sz val="9"/>
        <rFont val="Arial"/>
        <family val="2"/>
      </rPr>
      <t>app</t>
    </r>
  </si>
  <si>
    <r>
      <t>V</t>
    </r>
    <r>
      <rPr>
        <vertAlign val="subscript"/>
        <sz val="9"/>
        <rFont val="Arial"/>
        <family val="2"/>
      </rPr>
      <t>tablier</t>
    </r>
  </si>
  <si>
    <r>
      <t>V</t>
    </r>
    <r>
      <rPr>
        <vertAlign val="subscript"/>
        <sz val="9"/>
        <rFont val="Arial"/>
        <family val="2"/>
      </rPr>
      <t>clong</t>
    </r>
  </si>
  <si>
    <r>
      <t>V</t>
    </r>
    <r>
      <rPr>
        <vertAlign val="subscript"/>
        <sz val="9"/>
        <rFont val="Arial"/>
        <family val="2"/>
      </rPr>
      <t>clat</t>
    </r>
  </si>
  <si>
    <r>
      <t>V</t>
    </r>
    <r>
      <rPr>
        <vertAlign val="subscript"/>
        <sz val="9"/>
        <rFont val="Arial"/>
        <family val="2"/>
      </rPr>
      <t>culées</t>
    </r>
  </si>
  <si>
    <r>
      <t>V</t>
    </r>
    <r>
      <rPr>
        <vertAlign val="subscript"/>
        <sz val="9"/>
        <rFont val="Arial"/>
        <family val="2"/>
      </rPr>
      <t>plong</t>
    </r>
  </si>
  <si>
    <r>
      <t>V</t>
    </r>
    <r>
      <rPr>
        <vertAlign val="subscript"/>
        <sz val="9"/>
        <rFont val="Arial"/>
        <family val="2"/>
      </rPr>
      <t>plat</t>
    </r>
  </si>
  <si>
    <r>
      <t>V</t>
    </r>
    <r>
      <rPr>
        <vertAlign val="subscript"/>
        <sz val="9"/>
        <rFont val="Arial"/>
        <family val="2"/>
      </rPr>
      <t>piles</t>
    </r>
  </si>
  <si>
    <r>
      <t>V</t>
    </r>
    <r>
      <rPr>
        <vertAlign val="subscript"/>
        <sz val="9"/>
        <rFont val="Arial"/>
        <family val="2"/>
      </rPr>
      <t>rsc</t>
    </r>
  </si>
  <si>
    <r>
      <t>V</t>
    </r>
    <r>
      <rPr>
        <b/>
        <vertAlign val="subscript"/>
        <sz val="9"/>
        <rFont val="Arial"/>
        <family val="2"/>
      </rPr>
      <t>mc</t>
    </r>
  </si>
  <si>
    <r>
      <t>V</t>
    </r>
    <r>
      <rPr>
        <b/>
        <vertAlign val="subscript"/>
        <sz val="9"/>
        <rFont val="Arial"/>
        <family val="2"/>
      </rPr>
      <t>voute</t>
    </r>
  </si>
  <si>
    <t>Absence d'appareil d'appui - encastrement (Vtap = 0,0)</t>
  </si>
  <si>
    <r>
      <t>K</t>
    </r>
    <r>
      <rPr>
        <vertAlign val="subscript"/>
        <sz val="10"/>
        <rFont val="Arial"/>
        <family val="2"/>
      </rPr>
      <t xml:space="preserve">rig </t>
    </r>
    <r>
      <rPr>
        <sz val="10"/>
        <rFont val="Arial"/>
        <family val="0"/>
      </rPr>
      <t xml:space="preserve"> = </t>
    </r>
  </si>
  <si>
    <t xml:space="preserve">est opérationnelle. </t>
  </si>
  <si>
    <t>(chapitre B). Pour l'instant, seule l'approche "nationale",c'est à dire celle basée sur les règles PS92,</t>
  </si>
  <si>
    <t>Calcul de Vliq</t>
  </si>
  <si>
    <t>Calcul de Vgliss</t>
  </si>
  <si>
    <r>
      <t>V</t>
    </r>
    <r>
      <rPr>
        <b/>
        <vertAlign val="subscript"/>
        <sz val="10"/>
        <rFont val="Arial"/>
        <family val="2"/>
      </rPr>
      <t xml:space="preserve">liq </t>
    </r>
    <r>
      <rPr>
        <b/>
        <sz val="10"/>
        <rFont val="Arial"/>
        <family val="2"/>
      </rPr>
      <t>=</t>
    </r>
  </si>
  <si>
    <r>
      <t>V</t>
    </r>
    <r>
      <rPr>
        <b/>
        <vertAlign val="subscript"/>
        <sz val="10"/>
        <rFont val="Arial"/>
        <family val="2"/>
      </rPr>
      <t xml:space="preserve">gliss </t>
    </r>
    <r>
      <rPr>
        <b/>
        <sz val="10"/>
        <rFont val="Arial"/>
        <family val="2"/>
      </rPr>
      <t>=</t>
    </r>
  </si>
  <si>
    <t>A52- Vulnérabilité à la liquéfaction</t>
  </si>
  <si>
    <t>A53- Vulnérabilité au glissement</t>
  </si>
  <si>
    <t>A53- Vulnérabilité chute de blocs</t>
  </si>
  <si>
    <t>Grillage simple</t>
  </si>
  <si>
    <t>Grillage ancré</t>
  </si>
  <si>
    <t>Ecran pare-blocs</t>
  </si>
  <si>
    <t>Merlon/fosse</t>
  </si>
  <si>
    <t>Calcul de Vprotec</t>
  </si>
  <si>
    <t>endommagé</t>
  </si>
  <si>
    <t>Endommagé</t>
  </si>
  <si>
    <t>Aucun</t>
  </si>
  <si>
    <t>En charge</t>
  </si>
  <si>
    <t>Vide</t>
  </si>
  <si>
    <t>vide</t>
  </si>
  <si>
    <t>en charge</t>
  </si>
  <si>
    <t>Présence d'un dispositif de protection?</t>
  </si>
  <si>
    <t>En quel état?</t>
  </si>
  <si>
    <t>&lt; 40 cm</t>
  </si>
  <si>
    <t>&gt; 40 cm</t>
  </si>
  <si>
    <t>Colonne multiple, nombre de colonnes par appui</t>
  </si>
  <si>
    <t>Maçonnerie</t>
  </si>
  <si>
    <t>caisson</t>
  </si>
  <si>
    <t>cadre ou portique</t>
  </si>
  <si>
    <t>Fût massif</t>
  </si>
  <si>
    <r>
      <t>V</t>
    </r>
    <r>
      <rPr>
        <b/>
        <vertAlign val="subscript"/>
        <sz val="10"/>
        <rFont val="Arial"/>
        <family val="2"/>
      </rPr>
      <t xml:space="preserve">blocs </t>
    </r>
    <r>
      <rPr>
        <b/>
        <sz val="10"/>
        <rFont val="Arial"/>
        <family val="2"/>
      </rPr>
      <t>=</t>
    </r>
  </si>
  <si>
    <t>Ouvrage 1 travée</t>
  </si>
  <si>
    <t>maçonnerie</t>
  </si>
  <si>
    <t>Renseigner type de pile dans feuille "Piles"</t>
  </si>
  <si>
    <r>
      <t>V</t>
    </r>
    <r>
      <rPr>
        <b/>
        <vertAlign val="subscript"/>
        <sz val="14"/>
        <color indexed="13"/>
        <rFont val="Arial"/>
        <family val="2"/>
      </rPr>
      <t>vibra</t>
    </r>
  </si>
  <si>
    <r>
      <t>V</t>
    </r>
    <r>
      <rPr>
        <b/>
        <vertAlign val="subscript"/>
        <sz val="14"/>
        <color indexed="13"/>
        <rFont val="Arial"/>
        <family val="2"/>
      </rPr>
      <t>liqu</t>
    </r>
  </si>
  <si>
    <r>
      <t>V</t>
    </r>
    <r>
      <rPr>
        <b/>
        <vertAlign val="subscript"/>
        <sz val="14"/>
        <color indexed="13"/>
        <rFont val="Arial"/>
        <family val="2"/>
      </rPr>
      <t>gliss</t>
    </r>
  </si>
  <si>
    <r>
      <t>V</t>
    </r>
    <r>
      <rPr>
        <b/>
        <vertAlign val="subscript"/>
        <sz val="14"/>
        <color indexed="13"/>
        <rFont val="Arial"/>
        <family val="2"/>
      </rPr>
      <t>blocs</t>
    </r>
  </si>
  <si>
    <r>
      <t>V</t>
    </r>
    <r>
      <rPr>
        <b/>
        <vertAlign val="subscript"/>
        <sz val="14"/>
        <rFont val="Arial"/>
        <family val="2"/>
      </rPr>
      <t>vibra</t>
    </r>
    <r>
      <rPr>
        <b/>
        <sz val="14"/>
        <rFont val="Arial"/>
        <family val="2"/>
      </rPr>
      <t xml:space="preserve">     =</t>
    </r>
  </si>
  <si>
    <t>A5- VULNERABILITE PAR RAPPORT A L'ENVIRONNEMENT EXTERIEUR DE L'OUVRAGE</t>
  </si>
  <si>
    <t>strictement inférieur à 3</t>
  </si>
  <si>
    <t>supérieur ou égal à 3</t>
  </si>
  <si>
    <t>-</t>
  </si>
  <si>
    <t>travées continues</t>
  </si>
  <si>
    <t>travées indépendantes</t>
  </si>
  <si>
    <t>fûts massifs</t>
  </si>
  <si>
    <t>voiles</t>
  </si>
  <si>
    <t>colonnes multiples</t>
  </si>
  <si>
    <t>piles marteaux</t>
  </si>
  <si>
    <t>ep voile&lt;40 cm</t>
  </si>
  <si>
    <t>ep voile&gt;40 cm</t>
  </si>
  <si>
    <t>nb colonnes &lt;3</t>
  </si>
  <si>
    <t>nb colonnes &gt;=3</t>
  </si>
  <si>
    <t>ep colonne x1 ou 2&lt;40</t>
  </si>
  <si>
    <t>ep colonne x1 ou 2&gt;40</t>
  </si>
  <si>
    <t>ep colonne x3 &lt;40</t>
  </si>
  <si>
    <t>ep colonne x3 &gt;40</t>
  </si>
  <si>
    <t>V blocs</t>
  </si>
  <si>
    <r>
      <t>V</t>
    </r>
    <r>
      <rPr>
        <b/>
        <vertAlign val="subscript"/>
        <sz val="9"/>
        <color indexed="12"/>
        <rFont val="Arial"/>
        <family val="2"/>
      </rPr>
      <t>vibra</t>
    </r>
  </si>
  <si>
    <r>
      <t>V</t>
    </r>
    <r>
      <rPr>
        <b/>
        <vertAlign val="subscript"/>
        <sz val="9"/>
        <color indexed="12"/>
        <rFont val="Arial"/>
        <family val="2"/>
      </rPr>
      <t>liq</t>
    </r>
  </si>
  <si>
    <r>
      <t>V</t>
    </r>
    <r>
      <rPr>
        <b/>
        <vertAlign val="subscript"/>
        <sz val="9"/>
        <color indexed="12"/>
        <rFont val="Arial"/>
        <family val="2"/>
      </rPr>
      <t>glis</t>
    </r>
  </si>
  <si>
    <r>
      <t>V</t>
    </r>
    <r>
      <rPr>
        <b/>
        <vertAlign val="subscript"/>
        <sz val="9"/>
        <color indexed="12"/>
        <rFont val="Arial"/>
        <family val="2"/>
      </rPr>
      <t>blocs</t>
    </r>
  </si>
  <si>
    <t>C</t>
  </si>
  <si>
    <t>D</t>
  </si>
  <si>
    <t>Classe de l'ouvrage (importance de l'ouvrage conformément aux règles PS92 )</t>
  </si>
  <si>
    <t>B</t>
  </si>
  <si>
    <t>Classe (PS92)</t>
  </si>
  <si>
    <t>pieux non tubés</t>
  </si>
  <si>
    <t>pieux tubés</t>
  </si>
  <si>
    <t>Pile Caisson</t>
  </si>
  <si>
    <t>tablier peu vulnérable</t>
  </si>
  <si>
    <t>tablier vulnérable</t>
  </si>
  <si>
    <t>Vtablier</t>
  </si>
  <si>
    <t>tab vulnérable</t>
  </si>
  <si>
    <t>tab peu vuln</t>
  </si>
  <si>
    <t>Vappuis</t>
  </si>
  <si>
    <t>lien</t>
  </si>
  <si>
    <t>Bouclier pare-blocs</t>
  </si>
  <si>
    <t>Culée fondée superficiellement sur sol meuble avec remblai de hauteur H'&gt;3m (Vctlong=0.8)</t>
  </si>
  <si>
    <t>Piédroits de portiques (Vctlong = 0,3)</t>
  </si>
  <si>
    <t>Culée enterrée (Vctlong = 0,3)</t>
  </si>
  <si>
    <t>Culée fondée superficiellement sur rocher (Vctlong=0.1)</t>
  </si>
  <si>
    <t>Culée fondée superficiellement sur terre armée (Vctlong=0.2)</t>
  </si>
  <si>
    <t>Itinéraire</t>
  </si>
  <si>
    <t>méthode calcul</t>
  </si>
  <si>
    <t>type ouvrage</t>
  </si>
  <si>
    <t>nbre travées</t>
  </si>
  <si>
    <t>classe IQOA</t>
  </si>
  <si>
    <t>h1</t>
  </si>
  <si>
    <t>h2</t>
  </si>
  <si>
    <t>Lt</t>
  </si>
  <si>
    <t>Lp</t>
  </si>
  <si>
    <t>hp</t>
  </si>
  <si>
    <t>tirants passifs</t>
  </si>
  <si>
    <t>biais</t>
  </si>
  <si>
    <t>butées transversales</t>
  </si>
  <si>
    <t>Ltravée 1</t>
  </si>
  <si>
    <t>Ltravée 2</t>
  </si>
  <si>
    <t>Ltravée 3</t>
  </si>
  <si>
    <t>Ltravée 4</t>
  </si>
  <si>
    <t>Ltravée 5</t>
  </si>
  <si>
    <t>Ltravée 6</t>
  </si>
  <si>
    <t>Ltravée 7</t>
  </si>
  <si>
    <t>Ltravée 8</t>
  </si>
  <si>
    <t>Ltravée 9</t>
  </si>
  <si>
    <t>Ltravée 10</t>
  </si>
  <si>
    <t>Ltravée 11</t>
  </si>
  <si>
    <t>Ltravée 12</t>
  </si>
  <si>
    <t>Happui 0</t>
  </si>
  <si>
    <t>Happui 1</t>
  </si>
  <si>
    <t>Happui 2</t>
  </si>
  <si>
    <t>Happui 3</t>
  </si>
  <si>
    <t>Happui 4</t>
  </si>
  <si>
    <t>Happui 5</t>
  </si>
  <si>
    <t>Happui 6</t>
  </si>
  <si>
    <t>Happui 7</t>
  </si>
  <si>
    <t>Happui 8</t>
  </si>
  <si>
    <t>Happui 9</t>
  </si>
  <si>
    <t>Happui 10</t>
  </si>
  <si>
    <t>Happui 11</t>
  </si>
  <si>
    <t>Happui 12</t>
  </si>
  <si>
    <t>NdeL 0</t>
  </si>
  <si>
    <t>NdeL 1</t>
  </si>
  <si>
    <t>NdeL 2</t>
  </si>
  <si>
    <t>NdeL 3</t>
  </si>
  <si>
    <t>NdeL 4</t>
  </si>
  <si>
    <t>NdeL 5</t>
  </si>
  <si>
    <t>NdeL 6</t>
  </si>
  <si>
    <t>NdeL 7</t>
  </si>
  <si>
    <t>NdeL 8</t>
  </si>
  <si>
    <t>NdeL 9</t>
  </si>
  <si>
    <t>NdeL 10</t>
  </si>
  <si>
    <t>NdeL 11</t>
  </si>
  <si>
    <t>NdeL 12</t>
  </si>
  <si>
    <t>NdeT 0</t>
  </si>
  <si>
    <t>NdeT 1</t>
  </si>
  <si>
    <t>NdeT 2</t>
  </si>
  <si>
    <t>NdeT 3</t>
  </si>
  <si>
    <t>NdeT 4</t>
  </si>
  <si>
    <t>NdeT 5</t>
  </si>
  <si>
    <t>NdeT 6</t>
  </si>
  <si>
    <t>NdeT 7</t>
  </si>
  <si>
    <t>NdeT 8</t>
  </si>
  <si>
    <t>NdeT 9</t>
  </si>
  <si>
    <t>NdeT 10</t>
  </si>
  <si>
    <t>NdeT 11</t>
  </si>
  <si>
    <t>NdeT 12</t>
  </si>
  <si>
    <t>disymétrie méca</t>
  </si>
  <si>
    <t>R</t>
  </si>
  <si>
    <t>appareils appui</t>
  </si>
  <si>
    <t>tablier rigide ou souple</t>
  </si>
  <si>
    <t>type culée</t>
  </si>
  <si>
    <t>dispos latérale culée</t>
  </si>
  <si>
    <t>liaison longi 0</t>
  </si>
  <si>
    <t>liaison longi 1</t>
  </si>
  <si>
    <t>liaison longi 2</t>
  </si>
  <si>
    <t>liaison longi 3</t>
  </si>
  <si>
    <t>liaison longi 4</t>
  </si>
  <si>
    <t>liaison longi 5</t>
  </si>
  <si>
    <t>liaison longi 6</t>
  </si>
  <si>
    <t>liaison longi 7</t>
  </si>
  <si>
    <t>liaison longi 8</t>
  </si>
  <si>
    <t>liaison longi 9</t>
  </si>
  <si>
    <t>liaison longi 10</t>
  </si>
  <si>
    <t>liaison longi 11</t>
  </si>
  <si>
    <t>liaison longi 12</t>
  </si>
  <si>
    <t>liaison transv 0</t>
  </si>
  <si>
    <t>liaison transv 1</t>
  </si>
  <si>
    <t>liaison transv 2</t>
  </si>
  <si>
    <t>liaison transv 3</t>
  </si>
  <si>
    <t>liaison transv 4</t>
  </si>
  <si>
    <t>liaison transv 5</t>
  </si>
  <si>
    <t>liaison transv 6</t>
  </si>
  <si>
    <t>liaison transv 7</t>
  </si>
  <si>
    <t>liaison transv 8</t>
  </si>
  <si>
    <t>liaison transv 9</t>
  </si>
  <si>
    <t>liaison transv 10</t>
  </si>
  <si>
    <t>liaison transv 11</t>
  </si>
  <si>
    <t>liaison transv 12</t>
  </si>
  <si>
    <t>masse tablier</t>
  </si>
  <si>
    <t>type fondation</t>
  </si>
  <si>
    <t>pieux tubés?</t>
  </si>
  <si>
    <t>protection bloc</t>
  </si>
  <si>
    <t>état?</t>
  </si>
  <si>
    <t>nb col / appui</t>
  </si>
  <si>
    <t>diamètre fût</t>
  </si>
  <si>
    <t>P. R. début</t>
  </si>
  <si>
    <t>P.R. fin</t>
  </si>
  <si>
    <t>P. R. fin</t>
  </si>
  <si>
    <t>P.R. début</t>
  </si>
  <si>
    <t>Absc début</t>
  </si>
  <si>
    <t>Absc fin</t>
  </si>
  <si>
    <t>Abs début</t>
  </si>
  <si>
    <t>Abs fin</t>
  </si>
  <si>
    <t>abs début</t>
  </si>
  <si>
    <t>abs fin</t>
  </si>
  <si>
    <t>Editer un OA</t>
  </si>
  <si>
    <t>Entrer le numéro de la ligne</t>
  </si>
  <si>
    <t>type pile</t>
  </si>
  <si>
    <t>?</t>
  </si>
  <si>
    <t>ENREGISTREMENT DES RESULTATS</t>
  </si>
  <si>
    <t xml:space="preserve">EDITER UN OA DEJA ENREGISTRE </t>
  </si>
  <si>
    <t xml:space="preserve"> (sur la feuille itinéraire)</t>
  </si>
  <si>
    <t>SUPPRIMER DES OUVRAGES DEJA ENREGISTRES</t>
  </si>
  <si>
    <t>Suppression d'un seul ouvrage</t>
  </si>
  <si>
    <t>Suppression de tous les ouvrages</t>
  </si>
  <si>
    <t>nb travées ouvrage</t>
  </si>
  <si>
    <t>Longueur du mur en tête :</t>
  </si>
  <si>
    <t>Lp/Lt</t>
  </si>
  <si>
    <t>h/15</t>
  </si>
  <si>
    <t>Calcul de Vmc*</t>
  </si>
  <si>
    <t>Vmc*H/15*Kt</t>
  </si>
  <si>
    <r>
      <t>V</t>
    </r>
    <r>
      <rPr>
        <b/>
        <vertAlign val="subscript"/>
        <sz val="10"/>
        <rFont val="Arial"/>
        <family val="2"/>
      </rPr>
      <t xml:space="preserve">b,prot </t>
    </r>
    <r>
      <rPr>
        <b/>
        <sz val="10"/>
        <rFont val="Arial"/>
        <family val="2"/>
      </rPr>
      <t>=</t>
    </r>
  </si>
  <si>
    <r>
      <t>V</t>
    </r>
    <r>
      <rPr>
        <b/>
        <vertAlign val="subscript"/>
        <sz val="10"/>
        <rFont val="Arial"/>
        <family val="2"/>
      </rPr>
      <t xml:space="preserve">b,app </t>
    </r>
    <r>
      <rPr>
        <b/>
        <sz val="10"/>
        <rFont val="Arial"/>
        <family val="2"/>
      </rPr>
      <t>=</t>
    </r>
  </si>
  <si>
    <r>
      <t>V</t>
    </r>
    <r>
      <rPr>
        <b/>
        <vertAlign val="subscript"/>
        <sz val="10"/>
        <rFont val="Arial"/>
        <family val="2"/>
      </rPr>
      <t xml:space="preserve">b,tab </t>
    </r>
    <r>
      <rPr>
        <b/>
        <sz val="10"/>
        <rFont val="Arial"/>
        <family val="2"/>
      </rPr>
      <t>=</t>
    </r>
  </si>
  <si>
    <t>Vulnérabilité appuis aux blocs</t>
  </si>
  <si>
    <t>Vulnérabilité tablier aux blocs</t>
  </si>
  <si>
    <t>Vulnérabilité dispositif de protection blocs</t>
  </si>
  <si>
    <t>Risque vibratoire</t>
  </si>
  <si>
    <t>m.s-2</t>
  </si>
  <si>
    <r>
      <t>m.s</t>
    </r>
    <r>
      <rPr>
        <vertAlign val="superscript"/>
        <sz val="10"/>
        <rFont val="Arial"/>
        <family val="2"/>
      </rPr>
      <t>-2</t>
    </r>
  </si>
  <si>
    <t>a crit</t>
  </si>
  <si>
    <t>Risque de liquéfaction</t>
  </si>
  <si>
    <t>Risque de glissement de terrain</t>
  </si>
  <si>
    <r>
      <t>V</t>
    </r>
    <r>
      <rPr>
        <b/>
        <vertAlign val="subscript"/>
        <sz val="14"/>
        <rFont val="Arial"/>
        <family val="2"/>
      </rPr>
      <t>gliss</t>
    </r>
    <r>
      <rPr>
        <b/>
        <sz val="14"/>
        <rFont val="Arial"/>
        <family val="2"/>
      </rPr>
      <t xml:space="preserve">  </t>
    </r>
  </si>
  <si>
    <r>
      <t>V</t>
    </r>
    <r>
      <rPr>
        <b/>
        <vertAlign val="subscript"/>
        <sz val="14"/>
        <rFont val="Arial"/>
        <family val="2"/>
      </rPr>
      <t>blocs</t>
    </r>
    <r>
      <rPr>
        <b/>
        <sz val="14"/>
        <rFont val="Arial"/>
        <family val="2"/>
      </rPr>
      <t xml:space="preserve">  </t>
    </r>
  </si>
  <si>
    <r>
      <t>V</t>
    </r>
    <r>
      <rPr>
        <b/>
        <vertAlign val="subscript"/>
        <sz val="14"/>
        <rFont val="Arial"/>
        <family val="2"/>
      </rPr>
      <t>liq</t>
    </r>
    <r>
      <rPr>
        <b/>
        <sz val="14"/>
        <rFont val="Arial"/>
        <family val="2"/>
      </rPr>
      <t xml:space="preserve">  </t>
    </r>
  </si>
  <si>
    <r>
      <t>R</t>
    </r>
    <r>
      <rPr>
        <b/>
        <vertAlign val="subscript"/>
        <sz val="14"/>
        <rFont val="Arial"/>
        <family val="2"/>
      </rPr>
      <t>liq</t>
    </r>
    <r>
      <rPr>
        <b/>
        <sz val="14"/>
        <rFont val="Arial"/>
        <family val="2"/>
      </rPr>
      <t xml:space="preserve"> </t>
    </r>
  </si>
  <si>
    <r>
      <t>R</t>
    </r>
    <r>
      <rPr>
        <b/>
        <vertAlign val="subscript"/>
        <sz val="14"/>
        <rFont val="Arial"/>
        <family val="2"/>
      </rPr>
      <t>gliss</t>
    </r>
    <r>
      <rPr>
        <b/>
        <sz val="14"/>
        <rFont val="Arial"/>
        <family val="2"/>
      </rPr>
      <t xml:space="preserve"> </t>
    </r>
  </si>
  <si>
    <r>
      <t>R</t>
    </r>
    <r>
      <rPr>
        <b/>
        <vertAlign val="subscript"/>
        <sz val="14"/>
        <rFont val="Arial"/>
        <family val="2"/>
      </rPr>
      <t>blocs</t>
    </r>
  </si>
  <si>
    <r>
      <t>V</t>
    </r>
    <r>
      <rPr>
        <b/>
        <vertAlign val="subscript"/>
        <sz val="14"/>
        <rFont val="Arial"/>
        <family val="2"/>
      </rPr>
      <t>vib</t>
    </r>
    <r>
      <rPr>
        <b/>
        <sz val="14"/>
        <rFont val="Arial"/>
        <family val="2"/>
      </rPr>
      <t xml:space="preserve">  </t>
    </r>
  </si>
  <si>
    <r>
      <t>R</t>
    </r>
    <r>
      <rPr>
        <b/>
        <vertAlign val="subscript"/>
        <sz val="14"/>
        <rFont val="Arial"/>
        <family val="2"/>
      </rPr>
      <t>vib</t>
    </r>
    <r>
      <rPr>
        <b/>
        <sz val="14"/>
        <rFont val="Arial"/>
        <family val="2"/>
      </rPr>
      <t xml:space="preserve"> </t>
    </r>
  </si>
  <si>
    <t>INDICES DE RISQUE</t>
  </si>
  <si>
    <t>INDICE DE VULNERABILITE VIBRATOIRE</t>
  </si>
  <si>
    <t>Risque de chute de blocs</t>
  </si>
  <si>
    <r>
      <t>a</t>
    </r>
    <r>
      <rPr>
        <sz val="8"/>
        <rFont val="Arial"/>
        <family val="2"/>
      </rPr>
      <t>crit</t>
    </r>
  </si>
  <si>
    <r>
      <t>a</t>
    </r>
    <r>
      <rPr>
        <sz val="8"/>
        <rFont val="Arial"/>
        <family val="2"/>
      </rPr>
      <t>vib</t>
    </r>
  </si>
  <si>
    <t>SISMOA</t>
  </si>
  <si>
    <t>(VERSION 1 du 20 novembre 2009)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</si>
</sst>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_ ;[Red]\-0\ "/>
    <numFmt numFmtId="175" formatCode="#,##0.000"/>
    <numFmt numFmtId="176" formatCode="&quot;Vrai&quot;;&quot;Vrai&quot;;&quot;Faux&quot;"/>
    <numFmt numFmtId="177" formatCode="&quot;Actif&quot;;&quot;Actif&quot;;&quot;Inactif&quot;"/>
  </numFmts>
  <fonts count="71">
    <font>
      <sz val="10"/>
      <name val="Arial"/>
      <family val="0"/>
    </font>
    <font>
      <sz val="14"/>
      <color indexed="12"/>
      <name val="Arial"/>
      <family val="2"/>
    </font>
    <font>
      <b/>
      <sz val="10"/>
      <color indexed="12"/>
      <name val="Arial"/>
      <family val="2"/>
    </font>
    <font>
      <b/>
      <sz val="10"/>
      <name val="Arial"/>
      <family val="2"/>
    </font>
    <font>
      <sz val="10"/>
      <color indexed="17"/>
      <name val="Arial"/>
      <family val="2"/>
    </font>
    <font>
      <sz val="10"/>
      <color indexed="12"/>
      <name val="Arial"/>
      <family val="2"/>
    </font>
    <font>
      <b/>
      <sz val="12"/>
      <color indexed="12"/>
      <name val="Arial"/>
      <family val="2"/>
    </font>
    <font>
      <b/>
      <sz val="11"/>
      <color indexed="17"/>
      <name val="Arial"/>
      <family val="2"/>
    </font>
    <font>
      <sz val="9"/>
      <name val="Arial"/>
      <family val="2"/>
    </font>
    <font>
      <sz val="9"/>
      <color indexed="39"/>
      <name val="Arial"/>
      <family val="2"/>
    </font>
    <font>
      <sz val="8"/>
      <name val="Tahoma"/>
      <family val="2"/>
    </font>
    <font>
      <u val="single"/>
      <sz val="9"/>
      <name val="Arial"/>
      <family val="2"/>
    </font>
    <font>
      <sz val="9"/>
      <color indexed="12"/>
      <name val="Arial"/>
      <family val="2"/>
    </font>
    <font>
      <b/>
      <sz val="11"/>
      <color indexed="10"/>
      <name val="Arial"/>
      <family val="2"/>
    </font>
    <font>
      <b/>
      <vertAlign val="subscript"/>
      <sz val="12"/>
      <color indexed="12"/>
      <name val="Arial"/>
      <family val="2"/>
    </font>
    <font>
      <b/>
      <sz val="11"/>
      <name val="Arial"/>
      <family val="2"/>
    </font>
    <font>
      <b/>
      <vertAlign val="subscript"/>
      <sz val="11"/>
      <name val="Arial"/>
      <family val="2"/>
    </font>
    <font>
      <b/>
      <i/>
      <sz val="10"/>
      <name val="Arial"/>
      <family val="2"/>
    </font>
    <font>
      <b/>
      <sz val="8"/>
      <name val="Arial"/>
      <family val="2"/>
    </font>
    <font>
      <sz val="8"/>
      <name val="Arial"/>
      <family val="2"/>
    </font>
    <font>
      <u val="single"/>
      <sz val="8"/>
      <name val="Arial"/>
      <family val="2"/>
    </font>
    <font>
      <sz val="7"/>
      <name val="Times New Roman"/>
      <family val="1"/>
    </font>
    <font>
      <sz val="8"/>
      <name val="Times New Roman"/>
      <family val="1"/>
    </font>
    <font>
      <i/>
      <sz val="9"/>
      <name val="Arial"/>
      <family val="2"/>
    </font>
    <font>
      <sz val="11"/>
      <name val="Arial"/>
      <family val="2"/>
    </font>
    <font>
      <i/>
      <sz val="10"/>
      <name val="Arial"/>
      <family val="2"/>
    </font>
    <font>
      <vertAlign val="subscript"/>
      <sz val="10"/>
      <name val="Arial"/>
      <family val="2"/>
    </font>
    <font>
      <b/>
      <sz val="9"/>
      <name val="Arial"/>
      <family val="2"/>
    </font>
    <font>
      <vertAlign val="subscript"/>
      <sz val="9"/>
      <name val="Arial"/>
      <family val="2"/>
    </font>
    <font>
      <b/>
      <vertAlign val="subscript"/>
      <sz val="10"/>
      <name val="Arial"/>
      <family val="2"/>
    </font>
    <font>
      <b/>
      <sz val="11"/>
      <color indexed="12"/>
      <name val="Arial"/>
      <family val="2"/>
    </font>
    <font>
      <b/>
      <vertAlign val="subscript"/>
      <sz val="11"/>
      <color indexed="12"/>
      <name val="Arial"/>
      <family val="2"/>
    </font>
    <font>
      <vertAlign val="subscript"/>
      <sz val="10"/>
      <color indexed="12"/>
      <name val="Arial"/>
      <family val="2"/>
    </font>
    <font>
      <b/>
      <sz val="14"/>
      <name val="Arial"/>
      <family val="2"/>
    </font>
    <font>
      <sz val="10"/>
      <color indexed="9"/>
      <name val="Arial"/>
      <family val="2"/>
    </font>
    <font>
      <b/>
      <sz val="10"/>
      <color indexed="9"/>
      <name val="Arial"/>
      <family val="2"/>
    </font>
    <font>
      <b/>
      <sz val="10"/>
      <color indexed="13"/>
      <name val="Arial"/>
      <family val="2"/>
    </font>
    <font>
      <b/>
      <vertAlign val="subscript"/>
      <sz val="10"/>
      <color indexed="13"/>
      <name val="Arial"/>
      <family val="2"/>
    </font>
    <font>
      <sz val="10"/>
      <color indexed="13"/>
      <name val="Arial"/>
      <family val="2"/>
    </font>
    <font>
      <b/>
      <sz val="14"/>
      <color indexed="13"/>
      <name val="Arial"/>
      <family val="2"/>
    </font>
    <font>
      <b/>
      <sz val="11"/>
      <color indexed="13"/>
      <name val="Arial"/>
      <family val="2"/>
    </font>
    <font>
      <sz val="12"/>
      <name val="Times New Roman"/>
      <family val="1"/>
    </font>
    <font>
      <sz val="8"/>
      <color indexed="12"/>
      <name val="Times New Roman"/>
      <family val="1"/>
    </font>
    <font>
      <sz val="10"/>
      <color indexed="12"/>
      <name val="Times New Roman"/>
      <family val="1"/>
    </font>
    <font>
      <sz val="9"/>
      <name val="Times New Roman"/>
      <family val="1"/>
    </font>
    <font>
      <b/>
      <sz val="9"/>
      <name val="Times New Roman"/>
      <family val="0"/>
    </font>
    <font>
      <sz val="10"/>
      <color indexed="50"/>
      <name val="Arial"/>
      <family val="2"/>
    </font>
    <font>
      <b/>
      <sz val="10"/>
      <color indexed="10"/>
      <name val="Arial"/>
      <family val="2"/>
    </font>
    <font>
      <sz val="8"/>
      <color indexed="12"/>
      <name val="Arial"/>
      <family val="2"/>
    </font>
    <font>
      <sz val="8"/>
      <color indexed="10"/>
      <name val="Arial"/>
      <family val="2"/>
    </font>
    <font>
      <b/>
      <sz val="10"/>
      <color indexed="17"/>
      <name val="Arial"/>
      <family val="2"/>
    </font>
    <font>
      <b/>
      <sz val="10"/>
      <name val="Times New Roman"/>
      <family val="1"/>
    </font>
    <font>
      <b/>
      <u val="single"/>
      <sz val="12"/>
      <color indexed="12"/>
      <name val="Arial"/>
      <family val="2"/>
    </font>
    <font>
      <b/>
      <sz val="9"/>
      <color indexed="12"/>
      <name val="Arial"/>
      <family val="2"/>
    </font>
    <font>
      <b/>
      <u val="single"/>
      <sz val="10"/>
      <name val="Arial"/>
      <family val="2"/>
    </font>
    <font>
      <b/>
      <sz val="8"/>
      <color indexed="10"/>
      <name val="Arial"/>
      <family val="2"/>
    </font>
    <font>
      <sz val="12"/>
      <color indexed="8"/>
      <name val="Times New Roman"/>
      <family val="0"/>
    </font>
    <font>
      <b/>
      <vertAlign val="subscript"/>
      <sz val="9"/>
      <name val="Arial"/>
      <family val="2"/>
    </font>
    <font>
      <b/>
      <vertAlign val="subscript"/>
      <sz val="14"/>
      <name val="Arial"/>
      <family val="2"/>
    </font>
    <font>
      <sz val="10"/>
      <color indexed="10"/>
      <name val="Arial"/>
      <family val="2"/>
    </font>
    <font>
      <b/>
      <vertAlign val="subscript"/>
      <sz val="14"/>
      <color indexed="13"/>
      <name val="Arial"/>
      <family val="2"/>
    </font>
    <font>
      <u val="single"/>
      <sz val="10"/>
      <color indexed="12"/>
      <name val="Arial"/>
      <family val="0"/>
    </font>
    <font>
      <u val="single"/>
      <sz val="10"/>
      <color indexed="36"/>
      <name val="Arial"/>
      <family val="0"/>
    </font>
    <font>
      <b/>
      <vertAlign val="subscript"/>
      <sz val="9"/>
      <color indexed="12"/>
      <name val="Arial"/>
      <family val="2"/>
    </font>
    <font>
      <u val="single"/>
      <sz val="12"/>
      <color indexed="12"/>
      <name val="Arial"/>
      <family val="0"/>
    </font>
    <font>
      <u val="single"/>
      <sz val="10"/>
      <name val="Arial"/>
      <family val="0"/>
    </font>
    <font>
      <b/>
      <sz val="9"/>
      <color indexed="57"/>
      <name val="Arial"/>
      <family val="2"/>
    </font>
    <font>
      <vertAlign val="superscript"/>
      <sz val="10"/>
      <name val="Arial"/>
      <family val="2"/>
    </font>
    <font>
      <b/>
      <sz val="12"/>
      <name val="Arial"/>
      <family val="2"/>
    </font>
    <font>
      <sz val="12"/>
      <name val="Arial"/>
      <family val="2"/>
    </font>
    <font>
      <b/>
      <sz val="16"/>
      <color indexed="12"/>
      <name val="Arial"/>
      <family val="2"/>
    </font>
  </fonts>
  <fills count="1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46"/>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51"/>
        <bgColor indexed="64"/>
      </patternFill>
    </fill>
    <fill>
      <patternFill patternType="solid">
        <fgColor indexed="49"/>
        <bgColor indexed="64"/>
      </patternFill>
    </fill>
    <fill>
      <patternFill patternType="solid">
        <fgColor indexed="50"/>
        <bgColor indexed="64"/>
      </patternFill>
    </fill>
  </fills>
  <borders count="5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medium">
        <color indexed="17"/>
      </left>
      <right style="medium">
        <color indexed="17"/>
      </right>
      <top style="medium">
        <color indexed="17"/>
      </top>
      <bottom style="medium">
        <color indexed="17"/>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style="double">
        <color indexed="12"/>
      </right>
      <top style="double">
        <color indexed="12"/>
      </top>
      <bottom style="double">
        <color indexed="12"/>
      </bottom>
    </border>
    <border>
      <left style="thin">
        <color indexed="9"/>
      </left>
      <right style="thin">
        <color indexed="9"/>
      </right>
      <top style="thin">
        <color indexed="9"/>
      </top>
      <bottom style="thin">
        <color indexed="9"/>
      </bottom>
    </border>
    <border>
      <left style="double">
        <color indexed="39"/>
      </left>
      <right>
        <color indexed="63"/>
      </right>
      <top style="double">
        <color indexed="39"/>
      </top>
      <bottom style="double">
        <color indexed="39"/>
      </bottom>
    </border>
    <border>
      <left>
        <color indexed="63"/>
      </left>
      <right style="double">
        <color indexed="39"/>
      </right>
      <top style="double">
        <color indexed="39"/>
      </top>
      <bottom style="double">
        <color indexed="3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double">
        <color indexed="13"/>
      </left>
      <right style="double">
        <color indexed="13"/>
      </right>
      <top style="double">
        <color indexed="13"/>
      </top>
      <bottom>
        <color indexed="63"/>
      </bottom>
    </border>
    <border>
      <left style="double">
        <color indexed="13"/>
      </left>
      <right style="double">
        <color indexed="13"/>
      </right>
      <top>
        <color indexed="63"/>
      </top>
      <bottom style="double">
        <color indexed="13"/>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double"/>
      <right style="double"/>
      <top style="double"/>
      <bottom style="double"/>
    </border>
    <border>
      <left style="double">
        <color indexed="13"/>
      </left>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style="medium">
        <color indexed="17"/>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color indexed="63"/>
      </left>
      <right>
        <color indexed="63"/>
      </right>
      <top style="medium"/>
      <bottom style="medium"/>
    </border>
    <border>
      <left>
        <color indexed="63"/>
      </left>
      <right style="double">
        <color indexed="13"/>
      </right>
      <top style="double">
        <color indexed="13"/>
      </top>
      <bottom>
        <color indexed="63"/>
      </bottom>
    </border>
    <border>
      <left>
        <color indexed="63"/>
      </left>
      <right style="double">
        <color indexed="13"/>
      </right>
      <top>
        <color indexed="63"/>
      </top>
      <bottom style="double">
        <color indexed="1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97">
    <xf numFmtId="0" fontId="0" fillId="0" borderId="0" xfId="0" applyAlignment="1">
      <alignment/>
    </xf>
    <xf numFmtId="0" fontId="1" fillId="2" borderId="0" xfId="0" applyFont="1" applyFill="1" applyAlignment="1">
      <alignment horizontal="center" vertical="center"/>
    </xf>
    <xf numFmtId="0" fontId="0" fillId="0" borderId="0" xfId="0" applyAlignment="1">
      <alignment vertical="center"/>
    </xf>
    <xf numFmtId="0" fontId="2" fillId="2"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xf>
    <xf numFmtId="0" fontId="0" fillId="2" borderId="0" xfId="0" applyFont="1" applyFill="1" applyAlignment="1">
      <alignment horizontal="centerContinuous" vertical="center"/>
    </xf>
    <xf numFmtId="0" fontId="3" fillId="2" borderId="0" xfId="0" applyFont="1" applyFill="1" applyAlignment="1">
      <alignment vertical="center"/>
    </xf>
    <xf numFmtId="0" fontId="4" fillId="0" borderId="0" xfId="0" applyFont="1" applyAlignment="1">
      <alignment vertical="center"/>
    </xf>
    <xf numFmtId="0" fontId="0" fillId="2" borderId="0" xfId="0" applyFont="1" applyFill="1" applyAlignment="1">
      <alignment vertical="top"/>
    </xf>
    <xf numFmtId="0" fontId="0" fillId="2" borderId="0" xfId="0" applyFont="1" applyFill="1" applyAlignment="1">
      <alignment horizontal="centerContinuous" vertical="top"/>
    </xf>
    <xf numFmtId="0" fontId="0" fillId="0" borderId="0" xfId="0" applyFont="1" applyAlignment="1">
      <alignment vertical="top"/>
    </xf>
    <xf numFmtId="0" fontId="4" fillId="0" borderId="0" xfId="0" applyFont="1" applyAlignment="1">
      <alignment vertical="top"/>
    </xf>
    <xf numFmtId="0" fontId="0" fillId="2" borderId="0" xfId="0" applyFont="1" applyFill="1" applyAlignment="1">
      <alignment horizontal="center" vertical="center"/>
    </xf>
    <xf numFmtId="0" fontId="0" fillId="2" borderId="0" xfId="0" applyFont="1" applyFill="1" applyBorder="1" applyAlignment="1">
      <alignment vertical="center"/>
    </xf>
    <xf numFmtId="0" fontId="6" fillId="2" borderId="0" xfId="0" applyFont="1" applyFill="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3" borderId="3" xfId="0" applyFont="1" applyFill="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49" fontId="0" fillId="0" borderId="7" xfId="0" applyNumberFormat="1" applyFont="1" applyBorder="1" applyAlignment="1">
      <alignment vertical="center"/>
    </xf>
    <xf numFmtId="49" fontId="0" fillId="0" borderId="8" xfId="0" applyNumberFormat="1" applyFont="1" applyBorder="1" applyAlignment="1">
      <alignment vertical="center"/>
    </xf>
    <xf numFmtId="0" fontId="13" fillId="2" borderId="0" xfId="0" applyFont="1" applyFill="1" applyAlignment="1">
      <alignment vertical="center"/>
    </xf>
    <xf numFmtId="0" fontId="0" fillId="0" borderId="0" xfId="0" applyAlignment="1">
      <alignment horizontal="right" vertical="center"/>
    </xf>
    <xf numFmtId="0" fontId="0" fillId="0" borderId="0" xfId="0" applyFont="1" applyFill="1" applyAlignment="1">
      <alignment vertical="center"/>
    </xf>
    <xf numFmtId="0" fontId="15" fillId="4" borderId="10" xfId="0" applyFont="1" applyFill="1" applyBorder="1" applyAlignment="1">
      <alignment horizontal="right" vertical="center"/>
    </xf>
    <xf numFmtId="2" fontId="15" fillId="4" borderId="11" xfId="0" applyNumberFormat="1" applyFont="1" applyFill="1" applyBorder="1" applyAlignment="1">
      <alignment horizontal="center" vertical="center"/>
    </xf>
    <xf numFmtId="2" fontId="0" fillId="3" borderId="12" xfId="0" applyNumberFormat="1" applyFont="1" applyFill="1" applyBorder="1" applyAlignment="1">
      <alignment vertical="center"/>
    </xf>
    <xf numFmtId="0" fontId="7" fillId="5" borderId="13" xfId="0" applyFont="1" applyFill="1" applyBorder="1" applyAlignment="1" applyProtection="1">
      <alignment horizontal="center" vertical="center"/>
      <protection locked="0"/>
    </xf>
    <xf numFmtId="0" fontId="0" fillId="6" borderId="1" xfId="0" applyFont="1" applyFill="1" applyBorder="1" applyAlignment="1" applyProtection="1">
      <alignment vertical="center"/>
      <protection locked="0"/>
    </xf>
    <xf numFmtId="2" fontId="0" fillId="0" borderId="0" xfId="0" applyNumberFormat="1" applyFont="1" applyAlignment="1">
      <alignment horizontal="center" vertical="center"/>
    </xf>
    <xf numFmtId="0" fontId="0" fillId="6" borderId="12" xfId="0" applyFont="1" applyFill="1" applyBorder="1" applyAlignment="1" applyProtection="1">
      <alignment vertical="center"/>
      <protection locked="0"/>
    </xf>
    <xf numFmtId="0" fontId="0" fillId="2" borderId="0" xfId="0" applyFill="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2" borderId="0" xfId="0" applyFont="1" applyFill="1" applyAlignment="1">
      <alignment horizontal="center" vertical="center"/>
    </xf>
    <xf numFmtId="0" fontId="0" fillId="2" borderId="0" xfId="0" applyFill="1" applyAlignment="1" applyProtection="1">
      <alignment vertical="center"/>
      <protection/>
    </xf>
    <xf numFmtId="0" fontId="17" fillId="2" borderId="0" xfId="0" applyFont="1" applyFill="1" applyAlignment="1" applyProtection="1">
      <alignment vertical="center"/>
      <protection/>
    </xf>
    <xf numFmtId="0" fontId="0" fillId="0" borderId="0" xfId="0" applyAlignment="1" applyProtection="1">
      <alignment vertical="center"/>
      <protection/>
    </xf>
    <xf numFmtId="0" fontId="0" fillId="2" borderId="0" xfId="0" applyFill="1" applyAlignment="1" applyProtection="1">
      <alignment horizontal="right" vertical="center"/>
      <protection/>
    </xf>
    <xf numFmtId="0" fontId="0" fillId="2" borderId="0" xfId="0" applyFont="1" applyFill="1" applyAlignment="1" applyProtection="1">
      <alignment vertical="center"/>
      <protection/>
    </xf>
    <xf numFmtId="0" fontId="8" fillId="2" borderId="0" xfId="0" applyFont="1" applyFill="1" applyAlignment="1">
      <alignment vertical="center"/>
    </xf>
    <xf numFmtId="172" fontId="23" fillId="2" borderId="0" xfId="0" applyNumberFormat="1" applyFont="1" applyFill="1" applyAlignment="1">
      <alignment horizontal="center" vertical="center"/>
    </xf>
    <xf numFmtId="0" fontId="0" fillId="2" borderId="0" xfId="0" applyFill="1" applyAlignment="1">
      <alignment horizontal="right" vertical="center"/>
    </xf>
    <xf numFmtId="0" fontId="15" fillId="2" borderId="0" xfId="0" applyFont="1" applyFill="1" applyAlignment="1">
      <alignment horizontal="right" vertical="center"/>
    </xf>
    <xf numFmtId="173" fontId="0" fillId="0" borderId="0" xfId="0" applyNumberFormat="1" applyAlignment="1">
      <alignment vertical="center"/>
    </xf>
    <xf numFmtId="173" fontId="0" fillId="2" borderId="0" xfId="0" applyNumberFormat="1" applyFill="1" applyAlignment="1">
      <alignment horizontal="center" vertical="center"/>
    </xf>
    <xf numFmtId="0" fontId="0" fillId="2" borderId="0" xfId="0" applyFill="1" applyAlignment="1">
      <alignment horizontal="center" vertical="center"/>
    </xf>
    <xf numFmtId="0" fontId="25" fillId="2" borderId="0" xfId="0" applyFont="1" applyFill="1" applyAlignment="1">
      <alignment horizontal="center" vertical="center"/>
    </xf>
    <xf numFmtId="0" fontId="25" fillId="2" borderId="0" xfId="0" applyFont="1" applyFill="1" applyAlignment="1">
      <alignment vertical="center"/>
    </xf>
    <xf numFmtId="0" fontId="0" fillId="3" borderId="12" xfId="0" applyFont="1" applyFill="1" applyBorder="1" applyAlignment="1">
      <alignment vertical="center"/>
    </xf>
    <xf numFmtId="0" fontId="0" fillId="3" borderId="1" xfId="0" applyFont="1" applyFill="1"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0" fillId="0" borderId="9" xfId="0" applyBorder="1" applyAlignment="1">
      <alignment vertical="center"/>
    </xf>
    <xf numFmtId="2" fontId="7" fillId="5" borderId="13" xfId="0" applyNumberFormat="1" applyFont="1" applyFill="1" applyBorder="1" applyAlignment="1" applyProtection="1">
      <alignment horizontal="center" vertical="center"/>
      <protection locked="0"/>
    </xf>
    <xf numFmtId="0" fontId="7" fillId="5" borderId="13" xfId="0" applyNumberFormat="1" applyFont="1" applyFill="1" applyBorder="1" applyAlignment="1" applyProtection="1">
      <alignment horizontal="center" vertical="center"/>
      <protection locked="0"/>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6" borderId="16" xfId="0" applyFont="1" applyFill="1" applyBorder="1" applyAlignment="1" applyProtection="1">
      <alignment vertical="center"/>
      <protection locked="0"/>
    </xf>
    <xf numFmtId="0" fontId="0" fillId="0" borderId="6" xfId="0" applyBorder="1" applyAlignment="1" applyProtection="1">
      <alignment vertical="center"/>
      <protection/>
    </xf>
    <xf numFmtId="0" fontId="0" fillId="0" borderId="14" xfId="0" applyBorder="1" applyAlignment="1" applyProtection="1">
      <alignment vertical="center"/>
      <protection/>
    </xf>
    <xf numFmtId="2" fontId="0" fillId="0" borderId="14" xfId="0" applyNumberFormat="1" applyBorder="1" applyAlignment="1" applyProtection="1">
      <alignment horizontal="right" vertical="center"/>
      <protection/>
    </xf>
    <xf numFmtId="2" fontId="0" fillId="0" borderId="4" xfId="0" applyNumberFormat="1" applyBorder="1" applyAlignment="1" applyProtection="1">
      <alignment horizontal="right" vertical="center"/>
      <protection/>
    </xf>
    <xf numFmtId="0" fontId="0" fillId="0" borderId="7" xfId="0" applyBorder="1" applyAlignment="1" applyProtection="1">
      <alignment vertical="center"/>
      <protection/>
    </xf>
    <xf numFmtId="0" fontId="0" fillId="0" borderId="0" xfId="0" applyBorder="1" applyAlignment="1" applyProtection="1">
      <alignment vertical="center"/>
      <protection/>
    </xf>
    <xf numFmtId="2" fontId="0" fillId="0" borderId="0" xfId="0" applyNumberFormat="1" applyBorder="1" applyAlignment="1" applyProtection="1">
      <alignment horizontal="right" vertical="center"/>
      <protection/>
    </xf>
    <xf numFmtId="2" fontId="0" fillId="0" borderId="5" xfId="0" applyNumberFormat="1" applyBorder="1" applyAlignment="1" applyProtection="1">
      <alignment horizontal="right" vertical="center"/>
      <protection/>
    </xf>
    <xf numFmtId="0" fontId="0" fillId="0" borderId="8" xfId="0" applyBorder="1" applyAlignment="1" applyProtection="1">
      <alignment vertical="center"/>
      <protection/>
    </xf>
    <xf numFmtId="0" fontId="0" fillId="0" borderId="15" xfId="0" applyBorder="1" applyAlignment="1" applyProtection="1">
      <alignment vertical="center"/>
      <protection/>
    </xf>
    <xf numFmtId="2" fontId="0" fillId="0" borderId="15" xfId="0" applyNumberFormat="1" applyBorder="1" applyAlignment="1" applyProtection="1">
      <alignment horizontal="right" vertical="center"/>
      <protection/>
    </xf>
    <xf numFmtId="2" fontId="0" fillId="0" borderId="9" xfId="0" applyNumberFormat="1" applyBorder="1" applyAlignment="1" applyProtection="1">
      <alignment horizontal="right" vertical="center"/>
      <protection/>
    </xf>
    <xf numFmtId="0" fontId="3" fillId="2" borderId="0" xfId="0" applyFont="1" applyFill="1" applyAlignment="1">
      <alignment horizontal="right" vertical="center"/>
    </xf>
    <xf numFmtId="0" fontId="8" fillId="2" borderId="0" xfId="0" applyFont="1" applyFill="1" applyAlignment="1">
      <alignment horizontal="center" vertical="center"/>
    </xf>
    <xf numFmtId="0" fontId="27" fillId="2" borderId="0" xfId="0" applyFont="1" applyFill="1" applyAlignment="1">
      <alignment horizontal="center" vertical="center"/>
    </xf>
    <xf numFmtId="0" fontId="0" fillId="2" borderId="0" xfId="0" applyFill="1" applyBorder="1" applyAlignment="1">
      <alignment vertical="center"/>
    </xf>
    <xf numFmtId="0" fontId="3" fillId="2" borderId="0" xfId="0" applyFont="1" applyFill="1" applyBorder="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left" vertical="center"/>
    </xf>
    <xf numFmtId="0" fontId="0" fillId="2" borderId="0" xfId="0" applyFill="1" applyBorder="1" applyAlignment="1" applyProtection="1">
      <alignment vertical="center"/>
      <protection/>
    </xf>
    <xf numFmtId="0" fontId="0" fillId="0" borderId="12" xfId="0" applyBorder="1" applyAlignment="1">
      <alignment vertical="center"/>
    </xf>
    <xf numFmtId="1" fontId="0" fillId="0" borderId="0" xfId="0" applyNumberFormat="1" applyAlignment="1">
      <alignment vertical="center"/>
    </xf>
    <xf numFmtId="0" fontId="0" fillId="0" borderId="12" xfId="0" applyFont="1" applyFill="1" applyBorder="1" applyAlignment="1">
      <alignment vertical="center"/>
    </xf>
    <xf numFmtId="0" fontId="0" fillId="0" borderId="0" xfId="0" applyAlignment="1">
      <alignment horizontal="center" vertical="center"/>
    </xf>
    <xf numFmtId="173" fontId="0" fillId="3" borderId="12" xfId="0" applyNumberFormat="1" applyFont="1" applyFill="1" applyBorder="1" applyAlignment="1">
      <alignment vertical="center"/>
    </xf>
    <xf numFmtId="0" fontId="0" fillId="0" borderId="1" xfId="0" applyFont="1" applyFill="1" applyBorder="1" applyAlignment="1">
      <alignment vertical="center"/>
    </xf>
    <xf numFmtId="0" fontId="0" fillId="2" borderId="19" xfId="0" applyFill="1" applyBorder="1" applyAlignment="1">
      <alignment vertical="center"/>
    </xf>
    <xf numFmtId="2" fontId="0" fillId="2" borderId="20" xfId="0" applyNumberFormat="1" applyFill="1" applyBorder="1" applyAlignment="1">
      <alignment horizontal="center" vertical="center"/>
    </xf>
    <xf numFmtId="0" fontId="0" fillId="2" borderId="21" xfId="0" applyFill="1" applyBorder="1" applyAlignment="1">
      <alignment vertical="center"/>
    </xf>
    <xf numFmtId="2" fontId="0" fillId="2" borderId="22" xfId="0" applyNumberFormat="1" applyFill="1" applyBorder="1" applyAlignment="1">
      <alignment horizontal="center" vertical="center"/>
    </xf>
    <xf numFmtId="0" fontId="19" fillId="2" borderId="14" xfId="0" applyFont="1" applyFill="1" applyBorder="1" applyAlignment="1">
      <alignment vertical="center"/>
    </xf>
    <xf numFmtId="0" fontId="19" fillId="2" borderId="4" xfId="0" applyFont="1" applyFill="1" applyBorder="1" applyAlignment="1">
      <alignment vertical="center"/>
    </xf>
    <xf numFmtId="0" fontId="19" fillId="2" borderId="7" xfId="0" applyFont="1" applyFill="1" applyBorder="1" applyAlignment="1">
      <alignment vertical="center"/>
    </xf>
    <xf numFmtId="0" fontId="19" fillId="2" borderId="0" xfId="0" applyFont="1" applyFill="1" applyBorder="1" applyAlignment="1">
      <alignment vertical="center"/>
    </xf>
    <xf numFmtId="0" fontId="19" fillId="2" borderId="5" xfId="0" applyFont="1" applyFill="1" applyBorder="1" applyAlignment="1">
      <alignment vertical="center"/>
    </xf>
    <xf numFmtId="0" fontId="30" fillId="2" borderId="23" xfId="0" applyFont="1" applyFill="1" applyBorder="1" applyAlignment="1">
      <alignment vertical="center"/>
    </xf>
    <xf numFmtId="0" fontId="2" fillId="2" borderId="24" xfId="0" applyFont="1" applyFill="1" applyBorder="1" applyAlignment="1">
      <alignment horizontal="center" vertical="center"/>
    </xf>
    <xf numFmtId="0" fontId="30" fillId="2" borderId="10" xfId="0" applyFont="1" applyFill="1" applyBorder="1" applyAlignment="1">
      <alignment vertical="center"/>
    </xf>
    <xf numFmtId="2" fontId="2" fillId="2" borderId="11" xfId="0" applyNumberFormat="1" applyFont="1" applyFill="1" applyBorder="1" applyAlignment="1">
      <alignment horizontal="center" vertical="center"/>
    </xf>
    <xf numFmtId="0" fontId="19" fillId="2" borderId="8" xfId="0" applyFont="1" applyFill="1" applyBorder="1" applyAlignment="1">
      <alignment vertical="center"/>
    </xf>
    <xf numFmtId="0" fontId="19" fillId="2" borderId="15" xfId="0" applyFont="1" applyFill="1" applyBorder="1" applyAlignment="1">
      <alignment vertical="center"/>
    </xf>
    <xf numFmtId="0" fontId="19" fillId="2" borderId="9" xfId="0" applyFont="1" applyFill="1" applyBorder="1" applyAlignment="1">
      <alignment vertical="center"/>
    </xf>
    <xf numFmtId="2" fontId="2" fillId="2" borderId="24" xfId="0" applyNumberFormat="1" applyFont="1" applyFill="1" applyBorder="1" applyAlignment="1">
      <alignment horizontal="center" vertical="center"/>
    </xf>
    <xf numFmtId="0" fontId="19" fillId="2" borderId="5" xfId="0" applyFont="1" applyFill="1" applyBorder="1" applyAlignment="1">
      <alignment horizontal="right" vertical="center"/>
    </xf>
    <xf numFmtId="0" fontId="19" fillId="2" borderId="0" xfId="0" applyFont="1" applyFill="1" applyAlignment="1">
      <alignment vertical="center"/>
    </xf>
    <xf numFmtId="2" fontId="19" fillId="2" borderId="5" xfId="0" applyNumberFormat="1" applyFont="1" applyFill="1" applyBorder="1" applyAlignment="1">
      <alignment vertical="center"/>
    </xf>
    <xf numFmtId="1" fontId="19" fillId="2" borderId="5" xfId="0" applyNumberFormat="1" applyFont="1" applyFill="1" applyBorder="1" applyAlignment="1">
      <alignment horizontal="right" vertical="center"/>
    </xf>
    <xf numFmtId="0" fontId="19" fillId="2" borderId="9" xfId="0" applyFont="1" applyFill="1" applyBorder="1" applyAlignment="1">
      <alignment horizontal="right" vertical="center"/>
    </xf>
    <xf numFmtId="0" fontId="3" fillId="4" borderId="16" xfId="0" applyFont="1" applyFill="1" applyBorder="1" applyAlignment="1">
      <alignment vertical="center"/>
    </xf>
    <xf numFmtId="0" fontId="0" fillId="4" borderId="18" xfId="0" applyFill="1" applyBorder="1" applyAlignment="1">
      <alignment vertical="center"/>
    </xf>
    <xf numFmtId="0" fontId="0" fillId="4" borderId="18" xfId="0" applyFill="1" applyBorder="1" applyAlignment="1">
      <alignment horizontal="right" vertical="center"/>
    </xf>
    <xf numFmtId="0" fontId="0" fillId="4" borderId="17" xfId="0" applyFill="1" applyBorder="1" applyAlignment="1">
      <alignment vertical="center"/>
    </xf>
    <xf numFmtId="0" fontId="0" fillId="0" borderId="0" xfId="0" applyFont="1" applyAlignment="1">
      <alignment horizontal="center" vertical="center"/>
    </xf>
    <xf numFmtId="0" fontId="2" fillId="0" borderId="0" xfId="0" applyFont="1" applyFill="1" applyAlignment="1">
      <alignment horizontal="center" vertical="center"/>
    </xf>
    <xf numFmtId="0" fontId="3" fillId="2" borderId="10" xfId="0" applyFont="1" applyFill="1" applyBorder="1" applyAlignment="1">
      <alignment vertical="center"/>
    </xf>
    <xf numFmtId="2" fontId="3" fillId="2" borderId="11" xfId="0" applyNumberFormat="1" applyFont="1" applyFill="1" applyBorder="1" applyAlignment="1">
      <alignment horizontal="center" vertical="center"/>
    </xf>
    <xf numFmtId="2" fontId="0" fillId="3" borderId="1" xfId="0" applyNumberFormat="1" applyFont="1" applyFill="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3" borderId="18" xfId="0" applyFont="1" applyFill="1" applyBorder="1" applyAlignment="1">
      <alignment vertical="center"/>
    </xf>
    <xf numFmtId="0" fontId="0" fillId="6" borderId="2" xfId="0" applyFont="1" applyFill="1" applyBorder="1" applyAlignment="1" applyProtection="1">
      <alignment vertical="center"/>
      <protection locked="0"/>
    </xf>
    <xf numFmtId="0" fontId="34" fillId="0" borderId="0" xfId="0" applyFont="1" applyFill="1" applyAlignment="1">
      <alignment vertical="center"/>
    </xf>
    <xf numFmtId="0" fontId="35" fillId="0" borderId="0" xfId="0" applyFont="1" applyFill="1" applyAlignment="1">
      <alignment horizontal="center" vertical="center"/>
    </xf>
    <xf numFmtId="2" fontId="34" fillId="0" borderId="0" xfId="0" applyNumberFormat="1" applyFont="1" applyFill="1" applyBorder="1" applyAlignment="1">
      <alignment horizontal="right" vertical="center"/>
    </xf>
    <xf numFmtId="0" fontId="34" fillId="0" borderId="0" xfId="0" applyFont="1" applyFill="1" applyBorder="1" applyAlignment="1">
      <alignment horizontal="center" vertical="center"/>
    </xf>
    <xf numFmtId="2" fontId="0" fillId="0" borderId="0" xfId="0" applyNumberFormat="1" applyFont="1" applyAlignment="1">
      <alignment vertical="center"/>
    </xf>
    <xf numFmtId="2" fontId="0" fillId="0" borderId="18" xfId="0" applyNumberFormat="1" applyFont="1" applyBorder="1" applyAlignment="1">
      <alignment horizontal="right" vertical="center"/>
    </xf>
    <xf numFmtId="2" fontId="0" fillId="0" borderId="17" xfId="0" applyNumberFormat="1" applyFont="1" applyBorder="1" applyAlignment="1">
      <alignment horizontal="right" vertical="center"/>
    </xf>
    <xf numFmtId="0" fontId="0" fillId="2" borderId="0" xfId="0" applyFill="1" applyAlignment="1">
      <alignment/>
    </xf>
    <xf numFmtId="0" fontId="0" fillId="2" borderId="0" xfId="0" applyFill="1" applyBorder="1" applyAlignment="1" applyProtection="1">
      <alignment/>
      <protection/>
    </xf>
    <xf numFmtId="0" fontId="0" fillId="2" borderId="0" xfId="0" applyFill="1" applyAlignment="1" applyProtection="1">
      <alignment/>
      <protection locked="0"/>
    </xf>
    <xf numFmtId="0" fontId="0" fillId="2" borderId="0" xfId="0" applyFill="1" applyAlignment="1" applyProtection="1">
      <alignment/>
      <protection locked="0"/>
    </xf>
    <xf numFmtId="0" fontId="0" fillId="2" borderId="0" xfId="0" applyFill="1" applyAlignment="1" applyProtection="1">
      <alignment/>
      <protection/>
    </xf>
    <xf numFmtId="0" fontId="0" fillId="2" borderId="0" xfId="0" applyFill="1" applyAlignment="1" applyProtection="1">
      <alignment/>
      <protection/>
    </xf>
    <xf numFmtId="0" fontId="22" fillId="2" borderId="0" xfId="0" applyFont="1" applyFill="1" applyAlignment="1" applyProtection="1">
      <alignment/>
      <protection/>
    </xf>
    <xf numFmtId="0" fontId="7" fillId="2" borderId="0" xfId="0" applyFont="1" applyFill="1" applyBorder="1" applyAlignment="1" applyProtection="1">
      <alignment horizontal="center" vertical="center"/>
      <protection locked="0"/>
    </xf>
    <xf numFmtId="0" fontId="0" fillId="0" borderId="0" xfId="0" applyBorder="1" applyAlignment="1">
      <alignment/>
    </xf>
    <xf numFmtId="0" fontId="34" fillId="7" borderId="0" xfId="0" applyFont="1" applyFill="1" applyAlignment="1">
      <alignment vertical="center"/>
    </xf>
    <xf numFmtId="0" fontId="36" fillId="7" borderId="0" xfId="0" applyFont="1" applyFill="1" applyAlignment="1">
      <alignment horizontal="center" vertical="center"/>
    </xf>
    <xf numFmtId="0" fontId="34" fillId="7" borderId="0" xfId="0" applyFont="1" applyFill="1" applyBorder="1" applyAlignment="1">
      <alignment horizontal="center" vertical="center"/>
    </xf>
    <xf numFmtId="2" fontId="40" fillId="7" borderId="0" xfId="0" applyNumberFormat="1" applyFont="1" applyFill="1" applyBorder="1" applyAlignment="1">
      <alignment horizontal="center" vertical="center"/>
    </xf>
    <xf numFmtId="0" fontId="35" fillId="7" borderId="0" xfId="0" applyFont="1" applyFill="1" applyAlignment="1">
      <alignment horizontal="center" vertical="center"/>
    </xf>
    <xf numFmtId="3" fontId="19" fillId="2" borderId="5" xfId="0" applyNumberFormat="1" applyFont="1" applyFill="1" applyBorder="1" applyAlignment="1">
      <alignment horizontal="right" vertical="center"/>
    </xf>
    <xf numFmtId="2" fontId="2" fillId="2" borderId="12" xfId="0" applyNumberFormat="1" applyFont="1" applyFill="1" applyBorder="1" applyAlignment="1">
      <alignment horizontal="center" vertical="center"/>
    </xf>
    <xf numFmtId="0" fontId="0" fillId="2" borderId="0" xfId="0" applyFill="1" applyAlignment="1">
      <alignment horizontal="center" vertical="center" wrapText="1"/>
    </xf>
    <xf numFmtId="0" fontId="3" fillId="2" borderId="12" xfId="0" applyFont="1" applyFill="1" applyBorder="1" applyAlignment="1">
      <alignment horizontal="center" vertical="center"/>
    </xf>
    <xf numFmtId="2" fontId="3" fillId="2" borderId="12" xfId="0" applyNumberFormat="1" applyFont="1" applyFill="1" applyBorder="1" applyAlignment="1">
      <alignment horizontal="center" vertical="center"/>
    </xf>
    <xf numFmtId="0" fontId="47" fillId="2" borderId="0" xfId="0" applyFont="1" applyFill="1" applyAlignment="1">
      <alignment vertical="center"/>
    </xf>
    <xf numFmtId="0" fontId="3" fillId="5" borderId="25" xfId="0" applyFont="1" applyFill="1" applyBorder="1" applyAlignment="1">
      <alignment horizontal="center"/>
    </xf>
    <xf numFmtId="2" fontId="6" fillId="4" borderId="26" xfId="0" applyNumberFormat="1" applyFont="1" applyFill="1" applyBorder="1" applyAlignment="1">
      <alignment horizontal="left" vertical="center"/>
    </xf>
    <xf numFmtId="0" fontId="3" fillId="6" borderId="12" xfId="0" applyFont="1" applyFill="1" applyBorder="1" applyAlignment="1">
      <alignment horizontal="center" vertical="center"/>
    </xf>
    <xf numFmtId="2" fontId="15" fillId="6" borderId="12" xfId="0" applyNumberFormat="1" applyFont="1" applyFill="1" applyBorder="1" applyAlignment="1">
      <alignment horizontal="center" vertical="center"/>
    </xf>
    <xf numFmtId="0" fontId="3" fillId="4" borderId="10" xfId="0" applyFont="1" applyFill="1" applyBorder="1" applyAlignment="1">
      <alignment horizontal="right" vertical="center"/>
    </xf>
    <xf numFmtId="2" fontId="3" fillId="4" borderId="11" xfId="0" applyNumberFormat="1" applyFont="1" applyFill="1" applyBorder="1" applyAlignment="1">
      <alignment horizontal="center" vertical="center"/>
    </xf>
    <xf numFmtId="0" fontId="52" fillId="3" borderId="0" xfId="0" applyFont="1" applyFill="1" applyAlignment="1">
      <alignment/>
    </xf>
    <xf numFmtId="0" fontId="0" fillId="3" borderId="0" xfId="0" applyFont="1" applyFill="1" applyAlignment="1">
      <alignment/>
    </xf>
    <xf numFmtId="0" fontId="0" fillId="3" borderId="0" xfId="0" applyFont="1" applyFill="1" applyAlignment="1">
      <alignment horizontal="left"/>
    </xf>
    <xf numFmtId="0" fontId="0" fillId="3" borderId="0" xfId="0" applyFont="1" applyFill="1" applyBorder="1" applyAlignment="1">
      <alignment vertical="center"/>
    </xf>
    <xf numFmtId="0" fontId="12" fillId="3" borderId="0" xfId="0" applyFont="1" applyFill="1" applyAlignment="1">
      <alignment/>
    </xf>
    <xf numFmtId="0" fontId="7" fillId="3" borderId="0"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15" fillId="3" borderId="0" xfId="0" applyFont="1" applyFill="1" applyAlignment="1">
      <alignment/>
    </xf>
    <xf numFmtId="0" fontId="0" fillId="3" borderId="0" xfId="0" applyFill="1" applyAlignment="1">
      <alignment/>
    </xf>
    <xf numFmtId="0" fontId="0" fillId="3" borderId="0" xfId="0" applyFill="1" applyBorder="1" applyAlignment="1">
      <alignment/>
    </xf>
    <xf numFmtId="0" fontId="44" fillId="3" borderId="0" xfId="0" applyFont="1" applyFill="1" applyAlignment="1">
      <alignment/>
    </xf>
    <xf numFmtId="0" fontId="53" fillId="3" borderId="0" xfId="0" applyFont="1" applyFill="1" applyAlignment="1">
      <alignment/>
    </xf>
    <xf numFmtId="49" fontId="45" fillId="3" borderId="0" xfId="0" applyNumberFormat="1" applyFont="1" applyFill="1" applyAlignment="1">
      <alignment horizontal="center"/>
    </xf>
    <xf numFmtId="0" fontId="8" fillId="3" borderId="0" xfId="0" applyFont="1" applyFill="1" applyAlignment="1">
      <alignment/>
    </xf>
    <xf numFmtId="0" fontId="0" fillId="3" borderId="0" xfId="0" applyFill="1" applyAlignment="1">
      <alignment horizontal="center" vertical="center" wrapText="1"/>
    </xf>
    <xf numFmtId="0" fontId="49" fillId="3" borderId="0" xfId="0" applyFont="1" applyFill="1" applyAlignment="1">
      <alignment horizontal="left" vertical="center" wrapText="1"/>
    </xf>
    <xf numFmtId="0" fontId="48" fillId="3" borderId="0" xfId="0" applyFont="1" applyFill="1" applyAlignment="1">
      <alignment horizontal="left" vertical="center" wrapText="1"/>
    </xf>
    <xf numFmtId="0" fontId="2" fillId="3" borderId="0" xfId="0" applyFont="1" applyFill="1" applyAlignment="1">
      <alignment horizontal="center" vertical="center"/>
    </xf>
    <xf numFmtId="0" fontId="2" fillId="3" borderId="0" xfId="0" applyFont="1" applyFill="1" applyAlignment="1">
      <alignment horizontal="center"/>
    </xf>
    <xf numFmtId="0" fontId="19" fillId="3" borderId="0" xfId="0" applyFont="1" applyFill="1" applyAlignment="1">
      <alignment vertical="center"/>
    </xf>
    <xf numFmtId="0" fontId="0" fillId="3" borderId="0" xfId="0" applyFont="1" applyFill="1" applyAlignment="1">
      <alignment vertical="center"/>
    </xf>
    <xf numFmtId="0" fontId="51" fillId="3" borderId="0" xfId="0" applyFont="1" applyFill="1" applyAlignment="1">
      <alignment horizontal="center" vertical="center"/>
    </xf>
    <xf numFmtId="0" fontId="51" fillId="3" borderId="0" xfId="0" applyFont="1" applyFill="1" applyAlignment="1">
      <alignment horizontal="center"/>
    </xf>
    <xf numFmtId="0" fontId="51" fillId="3" borderId="0" xfId="0" applyFont="1" applyFill="1" applyBorder="1" applyAlignment="1">
      <alignment vertical="center"/>
    </xf>
    <xf numFmtId="0" fontId="19" fillId="3" borderId="0" xfId="0" applyFont="1" applyFill="1" applyAlignment="1">
      <alignment/>
    </xf>
    <xf numFmtId="0" fontId="3" fillId="3" borderId="0" xfId="0" applyFont="1" applyFill="1" applyAlignment="1">
      <alignment horizontal="center"/>
    </xf>
    <xf numFmtId="0" fontId="3" fillId="3" borderId="0" xfId="0" applyFont="1" applyFill="1" applyBorder="1" applyAlignment="1">
      <alignment horizontal="center"/>
    </xf>
    <xf numFmtId="0" fontId="0" fillId="3" borderId="0" xfId="0" applyFont="1" applyFill="1" applyBorder="1" applyAlignment="1">
      <alignment horizontal="center"/>
    </xf>
    <xf numFmtId="0" fontId="54" fillId="2" borderId="0" xfId="0" applyFont="1" applyFill="1" applyBorder="1" applyAlignment="1">
      <alignment horizontal="center" vertical="center"/>
    </xf>
    <xf numFmtId="0" fontId="47" fillId="2" borderId="0" xfId="0" applyFont="1" applyFill="1" applyBorder="1" applyAlignment="1">
      <alignment horizontal="left" vertical="center"/>
    </xf>
    <xf numFmtId="0" fontId="54" fillId="2" borderId="0" xfId="0" applyFont="1" applyFill="1" applyBorder="1" applyAlignment="1">
      <alignment horizontal="left" vertical="center"/>
    </xf>
    <xf numFmtId="0" fontId="47" fillId="2" borderId="0" xfId="0" applyFont="1" applyFill="1" applyAlignment="1">
      <alignment horizontal="left" vertical="center"/>
    </xf>
    <xf numFmtId="0" fontId="54" fillId="2" borderId="0" xfId="0" applyFont="1" applyFill="1" applyAlignment="1">
      <alignment horizontal="center" vertical="center"/>
    </xf>
    <xf numFmtId="0" fontId="50" fillId="5" borderId="13" xfId="0" applyFont="1" applyFill="1" applyBorder="1" applyAlignment="1" applyProtection="1">
      <alignment horizontal="center" vertical="center"/>
      <protection locked="0"/>
    </xf>
    <xf numFmtId="0" fontId="35" fillId="0" borderId="0" xfId="0" applyFont="1" applyFill="1" applyAlignment="1" applyProtection="1">
      <alignment horizontal="center" vertical="center"/>
      <protection/>
    </xf>
    <xf numFmtId="2" fontId="34" fillId="0" borderId="0" xfId="0" applyNumberFormat="1" applyFont="1" applyFill="1" applyBorder="1" applyAlignment="1" applyProtection="1">
      <alignment horizontal="right" vertical="center"/>
      <protection/>
    </xf>
    <xf numFmtId="0" fontId="34" fillId="0" borderId="0" xfId="0" applyFont="1" applyFill="1" applyBorder="1" applyAlignment="1" applyProtection="1">
      <alignment horizontal="center" vertical="center"/>
      <protection/>
    </xf>
    <xf numFmtId="0" fontId="2" fillId="2" borderId="0" xfId="0" applyFont="1" applyFill="1" applyAlignment="1" applyProtection="1">
      <alignment vertical="center"/>
      <protection/>
    </xf>
    <xf numFmtId="0" fontId="0" fillId="0" borderId="0" xfId="0" applyFont="1" applyAlignment="1" applyProtection="1">
      <alignment vertical="center"/>
      <protection/>
    </xf>
    <xf numFmtId="0" fontId="3" fillId="2" borderId="0" xfId="0" applyFont="1" applyFill="1" applyAlignment="1" applyProtection="1">
      <alignment vertical="center"/>
      <protection/>
    </xf>
    <xf numFmtId="0" fontId="15" fillId="2" borderId="0" xfId="0" applyFont="1" applyFill="1" applyAlignment="1" applyProtection="1">
      <alignment horizontal="right" vertical="center"/>
      <protection/>
    </xf>
    <xf numFmtId="2" fontId="0" fillId="2" borderId="0" xfId="0" applyNumberFormat="1" applyFill="1" applyAlignment="1" applyProtection="1">
      <alignment horizontal="center" vertical="center"/>
      <protection/>
    </xf>
    <xf numFmtId="2" fontId="6" fillId="4" borderId="11" xfId="0" applyNumberFormat="1" applyFont="1" applyFill="1" applyBorder="1" applyAlignment="1" applyProtection="1">
      <alignment horizontal="left" vertical="center"/>
      <protection/>
    </xf>
    <xf numFmtId="0" fontId="0" fillId="8" borderId="12" xfId="0" applyFill="1" applyBorder="1" applyAlignment="1" applyProtection="1">
      <alignment vertical="center"/>
      <protection/>
    </xf>
    <xf numFmtId="0" fontId="0" fillId="5" borderId="12" xfId="0" applyFill="1" applyBorder="1" applyAlignment="1" applyProtection="1">
      <alignment vertical="center"/>
      <protection/>
    </xf>
    <xf numFmtId="0" fontId="50" fillId="2" borderId="0" xfId="0" applyFont="1" applyFill="1" applyBorder="1" applyAlignment="1" applyProtection="1">
      <alignment horizontal="center" vertical="center"/>
      <protection/>
    </xf>
    <xf numFmtId="2" fontId="6" fillId="4" borderId="26" xfId="0" applyNumberFormat="1" applyFont="1" applyFill="1" applyBorder="1" applyAlignment="1" applyProtection="1">
      <alignment horizontal="left" vertical="center"/>
      <protection/>
    </xf>
    <xf numFmtId="0" fontId="34" fillId="0" borderId="0" xfId="0" applyFont="1" applyFill="1" applyAlignment="1" applyProtection="1">
      <alignment vertical="center"/>
      <protection locked="0"/>
    </xf>
    <xf numFmtId="0" fontId="34"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Alignment="1" applyProtection="1">
      <alignment vertical="center"/>
      <protection locked="0"/>
    </xf>
    <xf numFmtId="0" fontId="0" fillId="2" borderId="0" xfId="0" applyFill="1" applyAlignment="1" applyProtection="1">
      <alignment vertical="center"/>
      <protection locked="0"/>
    </xf>
    <xf numFmtId="0" fontId="3" fillId="9" borderId="12" xfId="0" applyFont="1" applyFill="1" applyBorder="1" applyAlignment="1">
      <alignment horizontal="center" vertical="center"/>
    </xf>
    <xf numFmtId="0" fontId="34" fillId="0" borderId="0" xfId="0" applyFont="1" applyFill="1" applyAlignment="1" applyProtection="1">
      <alignment vertical="center"/>
      <protection/>
    </xf>
    <xf numFmtId="0" fontId="0" fillId="4" borderId="12" xfId="0" applyFill="1" applyBorder="1" applyAlignment="1" applyProtection="1">
      <alignment vertical="center"/>
      <protection locked="0"/>
    </xf>
    <xf numFmtId="2" fontId="0" fillId="0" borderId="0" xfId="0" applyNumberFormat="1" applyFont="1" applyFill="1" applyBorder="1" applyAlignment="1" applyProtection="1">
      <alignment horizontal="center" vertical="center"/>
      <protection/>
    </xf>
    <xf numFmtId="2" fontId="6" fillId="2" borderId="26" xfId="0" applyNumberFormat="1" applyFont="1" applyFill="1" applyBorder="1" applyAlignment="1">
      <alignment horizontal="left" vertical="center"/>
    </xf>
    <xf numFmtId="0" fontId="8" fillId="9" borderId="12" xfId="0" applyFont="1" applyFill="1" applyBorder="1" applyAlignment="1">
      <alignment horizontal="left" vertical="center"/>
    </xf>
    <xf numFmtId="0" fontId="8" fillId="2" borderId="12" xfId="0" applyFont="1" applyFill="1" applyBorder="1" applyAlignment="1">
      <alignment horizontal="left" vertical="center"/>
    </xf>
    <xf numFmtId="0" fontId="27" fillId="2" borderId="12" xfId="0" applyFont="1" applyFill="1" applyBorder="1" applyAlignment="1">
      <alignment horizontal="left" vertical="center"/>
    </xf>
    <xf numFmtId="0" fontId="53" fillId="2" borderId="12" xfId="0" applyFont="1" applyFill="1" applyBorder="1" applyAlignment="1">
      <alignment horizontal="left" vertical="center"/>
    </xf>
    <xf numFmtId="173" fontId="3" fillId="2" borderId="12" xfId="0" applyNumberFormat="1" applyFont="1" applyFill="1" applyBorder="1" applyAlignment="1">
      <alignment horizontal="center" vertical="center"/>
    </xf>
    <xf numFmtId="0" fontId="0" fillId="3" borderId="3" xfId="0" applyFill="1" applyBorder="1" applyAlignment="1">
      <alignment vertical="center"/>
    </xf>
    <xf numFmtId="0" fontId="3" fillId="4" borderId="11" xfId="0" applyFont="1" applyFill="1" applyBorder="1" applyAlignment="1">
      <alignment horizontal="center" vertical="center"/>
    </xf>
    <xf numFmtId="0" fontId="0" fillId="2" borderId="27" xfId="0" applyFill="1" applyBorder="1" applyAlignment="1">
      <alignment vertical="center"/>
    </xf>
    <xf numFmtId="0" fontId="0" fillId="0" borderId="27" xfId="0" applyBorder="1" applyAlignment="1">
      <alignment vertical="center"/>
    </xf>
    <xf numFmtId="0" fontId="0" fillId="3" borderId="12" xfId="0" applyFill="1" applyBorder="1" applyAlignment="1">
      <alignment vertical="center"/>
    </xf>
    <xf numFmtId="0" fontId="3" fillId="4" borderId="28" xfId="0" applyFont="1" applyFill="1" applyBorder="1" applyAlignment="1">
      <alignment horizontal="right" vertical="center"/>
    </xf>
    <xf numFmtId="0" fontId="3" fillId="4" borderId="29" xfId="0" applyFont="1" applyFill="1" applyBorder="1" applyAlignment="1">
      <alignment horizontal="center" vertical="center"/>
    </xf>
    <xf numFmtId="0" fontId="59" fillId="0" borderId="0" xfId="0" applyFont="1" applyAlignment="1">
      <alignment vertical="center"/>
    </xf>
    <xf numFmtId="0" fontId="0" fillId="0" borderId="30" xfId="0" applyFont="1" applyFill="1" applyBorder="1" applyAlignment="1">
      <alignment vertical="center"/>
    </xf>
    <xf numFmtId="0" fontId="0" fillId="0" borderId="27" xfId="0" applyFont="1" applyFill="1" applyBorder="1" applyAlignment="1">
      <alignment vertical="center"/>
    </xf>
    <xf numFmtId="0" fontId="3" fillId="0" borderId="31" xfId="0" applyFont="1" applyFill="1" applyBorder="1" applyAlignment="1">
      <alignment horizontal="left" vertical="center"/>
    </xf>
    <xf numFmtId="2" fontId="15" fillId="0" borderId="31" xfId="0" applyNumberFormat="1" applyFont="1" applyFill="1" applyBorder="1" applyAlignment="1">
      <alignment horizontal="center" vertical="center"/>
    </xf>
    <xf numFmtId="0" fontId="39" fillId="7" borderId="32" xfId="0" applyFont="1" applyFill="1" applyBorder="1" applyAlignment="1">
      <alignment vertical="center"/>
    </xf>
    <xf numFmtId="0" fontId="39" fillId="7" borderId="32" xfId="0" applyFont="1" applyFill="1" applyBorder="1" applyAlignment="1">
      <alignment horizontal="left" vertical="center"/>
    </xf>
    <xf numFmtId="2" fontId="39" fillId="7" borderId="33" xfId="0" applyNumberFormat="1" applyFont="1" applyFill="1" applyBorder="1" applyAlignment="1">
      <alignment horizontal="center" vertical="center"/>
    </xf>
    <xf numFmtId="0" fontId="39" fillId="7" borderId="33" xfId="0" applyFont="1" applyFill="1" applyBorder="1" applyAlignment="1">
      <alignment vertical="center"/>
    </xf>
    <xf numFmtId="0" fontId="0" fillId="6" borderId="12" xfId="0" applyFill="1" applyBorder="1" applyAlignment="1" applyProtection="1">
      <alignment vertical="center"/>
      <protection locked="0"/>
    </xf>
    <xf numFmtId="0" fontId="0" fillId="0" borderId="15" xfId="0" applyFill="1" applyBorder="1" applyAlignment="1" applyProtection="1">
      <alignment vertical="center"/>
      <protection/>
    </xf>
    <xf numFmtId="0" fontId="0" fillId="0" borderId="5" xfId="0" applyBorder="1" applyAlignment="1" applyProtection="1">
      <alignment vertical="center"/>
      <protection/>
    </xf>
    <xf numFmtId="0" fontId="0" fillId="0" borderId="0" xfId="0" applyFill="1" applyBorder="1" applyAlignment="1">
      <alignment vertical="center"/>
    </xf>
    <xf numFmtId="0" fontId="0" fillId="10" borderId="12" xfId="0" applyFill="1" applyBorder="1" applyAlignment="1">
      <alignment vertical="center"/>
    </xf>
    <xf numFmtId="0" fontId="0" fillId="10" borderId="12" xfId="0" applyFont="1" applyFill="1" applyBorder="1" applyAlignment="1">
      <alignment vertical="center"/>
    </xf>
    <xf numFmtId="0" fontId="0" fillId="11" borderId="12" xfId="0" applyFill="1" applyBorder="1" applyAlignment="1">
      <alignment vertical="center"/>
    </xf>
    <xf numFmtId="0" fontId="0" fillId="12" borderId="12" xfId="0" applyFill="1" applyBorder="1" applyAlignment="1">
      <alignment vertical="center"/>
    </xf>
    <xf numFmtId="0" fontId="27" fillId="2" borderId="0" xfId="0" applyFont="1" applyFill="1" applyBorder="1" applyAlignment="1">
      <alignment horizontal="center" vertical="center" wrapText="1"/>
    </xf>
    <xf numFmtId="0" fontId="55" fillId="2" borderId="0" xfId="0" applyFont="1" applyFill="1" applyBorder="1" applyAlignment="1">
      <alignment horizontal="center" vertical="center" wrapText="1"/>
    </xf>
    <xf numFmtId="175" fontId="3" fillId="5" borderId="25" xfId="0" applyNumberFormat="1" applyFont="1" applyFill="1" applyBorder="1" applyAlignment="1">
      <alignment horizontal="center"/>
    </xf>
    <xf numFmtId="0" fontId="0" fillId="0" borderId="0" xfId="0" applyAlignment="1" applyProtection="1">
      <alignment/>
      <protection/>
    </xf>
    <xf numFmtId="0" fontId="0" fillId="2" borderId="0" xfId="0" applyFont="1" applyFill="1" applyAlignment="1">
      <alignment/>
    </xf>
    <xf numFmtId="0" fontId="5" fillId="2" borderId="34" xfId="0" applyFont="1" applyFill="1" applyBorder="1" applyAlignment="1">
      <alignment/>
    </xf>
    <xf numFmtId="0" fontId="64" fillId="2" borderId="34" xfId="0" applyFont="1" applyFill="1" applyBorder="1" applyAlignment="1">
      <alignment/>
    </xf>
    <xf numFmtId="0" fontId="65" fillId="2" borderId="34" xfId="0" applyFont="1" applyFill="1" applyBorder="1" applyAlignment="1">
      <alignment/>
    </xf>
    <xf numFmtId="0" fontId="0" fillId="2" borderId="34" xfId="0" applyFill="1" applyBorder="1" applyAlignment="1">
      <alignment/>
    </xf>
    <xf numFmtId="0" fontId="6" fillId="2" borderId="34" xfId="0" applyFont="1" applyFill="1" applyBorder="1" applyAlignment="1">
      <alignment/>
    </xf>
    <xf numFmtId="0" fontId="0" fillId="2" borderId="35" xfId="0" applyFill="1" applyBorder="1" applyAlignment="1">
      <alignment/>
    </xf>
    <xf numFmtId="2" fontId="0" fillId="13" borderId="14" xfId="0" applyNumberFormat="1" applyFill="1" applyBorder="1" applyAlignment="1">
      <alignment/>
    </xf>
    <xf numFmtId="0" fontId="0" fillId="0" borderId="7" xfId="0" applyFill="1" applyBorder="1" applyAlignment="1" applyProtection="1">
      <alignment/>
      <protection locked="0"/>
    </xf>
    <xf numFmtId="0" fontId="0" fillId="0" borderId="5" xfId="0" applyFill="1" applyBorder="1" applyAlignment="1" applyProtection="1">
      <alignment/>
      <protection locked="0"/>
    </xf>
    <xf numFmtId="0" fontId="0" fillId="0" borderId="8" xfId="0" applyFill="1" applyBorder="1" applyAlignment="1" applyProtection="1">
      <alignment/>
      <protection locked="0"/>
    </xf>
    <xf numFmtId="0" fontId="0" fillId="0" borderId="9" xfId="0" applyFill="1" applyBorder="1" applyAlignment="1" applyProtection="1">
      <alignment/>
      <protection locked="0"/>
    </xf>
    <xf numFmtId="0" fontId="0" fillId="0" borderId="0" xfId="0" applyFill="1" applyAlignment="1">
      <alignment/>
    </xf>
    <xf numFmtId="0" fontId="0" fillId="0" borderId="0" xfId="0" applyFont="1" applyFill="1" applyBorder="1" applyAlignment="1">
      <alignment vertical="center"/>
    </xf>
    <xf numFmtId="0" fontId="0" fillId="0" borderId="7" xfId="0" applyFill="1" applyBorder="1" applyAlignment="1">
      <alignment vertical="center"/>
    </xf>
    <xf numFmtId="0" fontId="0" fillId="0" borderId="14" xfId="0" applyFill="1" applyBorder="1" applyAlignment="1">
      <alignment vertical="center"/>
    </xf>
    <xf numFmtId="0" fontId="0" fillId="0" borderId="14" xfId="0" applyFont="1" applyFill="1" applyBorder="1" applyAlignment="1">
      <alignment vertical="center"/>
    </xf>
    <xf numFmtId="0" fontId="0" fillId="6" borderId="12" xfId="0" applyFill="1" applyBorder="1" applyAlignment="1" applyProtection="1">
      <alignment vertical="center"/>
      <protection/>
    </xf>
    <xf numFmtId="0" fontId="0" fillId="3" borderId="2" xfId="0" applyFill="1" applyBorder="1" applyAlignment="1">
      <alignment vertical="center"/>
    </xf>
    <xf numFmtId="0" fontId="0" fillId="3" borderId="16" xfId="0" applyFill="1" applyBorder="1" applyAlignment="1">
      <alignment vertical="center"/>
    </xf>
    <xf numFmtId="0" fontId="0" fillId="10" borderId="1" xfId="0" applyFill="1" applyBorder="1" applyAlignment="1">
      <alignment vertical="center"/>
    </xf>
    <xf numFmtId="0" fontId="0" fillId="10" borderId="6" xfId="0" applyFill="1" applyBorder="1" applyAlignment="1">
      <alignment vertical="center"/>
    </xf>
    <xf numFmtId="0" fontId="0" fillId="10" borderId="2" xfId="0" applyFill="1" applyBorder="1" applyAlignment="1">
      <alignment vertical="center"/>
    </xf>
    <xf numFmtId="0" fontId="0" fillId="10" borderId="7" xfId="0" applyFill="1" applyBorder="1" applyAlignment="1">
      <alignment vertical="center"/>
    </xf>
    <xf numFmtId="0" fontId="0" fillId="10" borderId="3" xfId="0" applyFill="1" applyBorder="1" applyAlignment="1">
      <alignment vertical="center"/>
    </xf>
    <xf numFmtId="0" fontId="0" fillId="10" borderId="8" xfId="0" applyFill="1" applyBorder="1" applyAlignment="1">
      <alignment vertical="center"/>
    </xf>
    <xf numFmtId="2" fontId="0" fillId="0" borderId="0" xfId="0" applyNumberFormat="1" applyFill="1" applyBorder="1" applyAlignment="1">
      <alignment/>
    </xf>
    <xf numFmtId="0" fontId="61" fillId="0" borderId="36" xfId="15" applyBorder="1" applyAlignment="1">
      <alignment/>
    </xf>
    <xf numFmtId="0" fontId="66" fillId="2" borderId="12" xfId="0" applyFont="1" applyFill="1" applyBorder="1" applyAlignment="1">
      <alignment horizontal="left" vertical="center"/>
    </xf>
    <xf numFmtId="0" fontId="61" fillId="0" borderId="36" xfId="15" applyBorder="1" applyAlignment="1" applyProtection="1">
      <alignment/>
      <protection/>
    </xf>
    <xf numFmtId="0" fontId="0" fillId="10" borderId="5" xfId="0" applyFill="1" applyBorder="1" applyAlignment="1">
      <alignment vertical="center"/>
    </xf>
    <xf numFmtId="0" fontId="0" fillId="10" borderId="9" xfId="0" applyFill="1" applyBorder="1" applyAlignment="1">
      <alignment vertical="center"/>
    </xf>
    <xf numFmtId="0" fontId="0" fillId="0" borderId="8" xfId="0" applyFill="1" applyBorder="1" applyAlignment="1">
      <alignment vertical="center"/>
    </xf>
    <xf numFmtId="0" fontId="0" fillId="2" borderId="12" xfId="0" applyFill="1" applyBorder="1" applyAlignment="1">
      <alignment vertical="center"/>
    </xf>
    <xf numFmtId="173" fontId="0" fillId="2" borderId="12" xfId="0" applyNumberFormat="1" applyFill="1" applyBorder="1" applyAlignment="1">
      <alignment vertical="center"/>
    </xf>
    <xf numFmtId="0" fontId="8" fillId="8" borderId="12" xfId="0" applyFont="1" applyFill="1" applyBorder="1" applyAlignment="1">
      <alignment horizontal="left" vertical="center"/>
    </xf>
    <xf numFmtId="173" fontId="0" fillId="8" borderId="12" xfId="0" applyNumberFormat="1" applyFill="1" applyBorder="1" applyAlignment="1">
      <alignment vertical="center"/>
    </xf>
    <xf numFmtId="0" fontId="0" fillId="8" borderId="12" xfId="0" applyFill="1" applyBorder="1" applyAlignment="1">
      <alignment vertical="center"/>
    </xf>
    <xf numFmtId="1" fontId="0" fillId="8" borderId="12" xfId="0" applyNumberFormat="1" applyFill="1" applyBorder="1" applyAlignment="1">
      <alignment vertical="center"/>
    </xf>
    <xf numFmtId="2" fontId="0" fillId="3" borderId="12" xfId="0" applyNumberFormat="1" applyFill="1" applyBorder="1" applyAlignment="1">
      <alignment vertical="center"/>
    </xf>
    <xf numFmtId="0" fontId="0" fillId="4" borderId="12" xfId="0" applyFill="1" applyBorder="1" applyAlignment="1">
      <alignment vertical="center"/>
    </xf>
    <xf numFmtId="2" fontId="0" fillId="4" borderId="12" xfId="0" applyNumberFormat="1" applyFill="1" applyBorder="1" applyAlignment="1">
      <alignment vertical="center"/>
    </xf>
    <xf numFmtId="0" fontId="0" fillId="5" borderId="12" xfId="0" applyFill="1" applyBorder="1" applyAlignment="1">
      <alignment vertical="center"/>
    </xf>
    <xf numFmtId="0" fontId="0" fillId="6" borderId="12" xfId="0" applyFill="1" applyBorder="1" applyAlignment="1">
      <alignment vertical="center"/>
    </xf>
    <xf numFmtId="0" fontId="0" fillId="12" borderId="12" xfId="0" applyFont="1" applyFill="1" applyBorder="1" applyAlignment="1">
      <alignment vertical="center"/>
    </xf>
    <xf numFmtId="0" fontId="0" fillId="14" borderId="12" xfId="0" applyFill="1" applyBorder="1" applyAlignment="1">
      <alignment vertical="center"/>
    </xf>
    <xf numFmtId="0" fontId="0" fillId="2" borderId="37" xfId="0" applyFont="1" applyFill="1" applyBorder="1" applyAlignment="1">
      <alignment vertical="center"/>
    </xf>
    <xf numFmtId="0" fontId="0" fillId="2" borderId="38" xfId="0" applyFont="1" applyFill="1" applyBorder="1" applyAlignment="1">
      <alignment vertical="center"/>
    </xf>
    <xf numFmtId="0" fontId="6" fillId="2" borderId="38" xfId="0" applyFont="1" applyFill="1" applyBorder="1" applyAlignment="1">
      <alignment horizontal="center" vertical="center"/>
    </xf>
    <xf numFmtId="0" fontId="0" fillId="2" borderId="39" xfId="0" applyFont="1" applyFill="1" applyBorder="1" applyAlignment="1">
      <alignment vertical="center"/>
    </xf>
    <xf numFmtId="173" fontId="50" fillId="5" borderId="12" xfId="0" applyNumberFormat="1" applyFont="1" applyFill="1" applyBorder="1" applyAlignment="1" applyProtection="1">
      <alignment horizontal="center" vertical="center"/>
      <protection locked="0"/>
    </xf>
    <xf numFmtId="0" fontId="3" fillId="2" borderId="0" xfId="0" applyFont="1" applyFill="1" applyBorder="1" applyAlignment="1">
      <alignment vertical="center"/>
    </xf>
    <xf numFmtId="0" fontId="0" fillId="2" borderId="0" xfId="0" applyFont="1" applyFill="1" applyBorder="1" applyAlignment="1" applyProtection="1">
      <alignment horizontal="left"/>
      <protection/>
    </xf>
    <xf numFmtId="0" fontId="0" fillId="0" borderId="0" xfId="0" applyFill="1" applyBorder="1" applyAlignment="1">
      <alignment horizontal="center"/>
    </xf>
    <xf numFmtId="0" fontId="0" fillId="2" borderId="0" xfId="0" applyFill="1" applyBorder="1" applyAlignment="1" applyProtection="1">
      <alignment horizontal="center"/>
      <protection/>
    </xf>
    <xf numFmtId="0" fontId="8" fillId="4" borderId="12" xfId="0" applyFont="1" applyFill="1" applyBorder="1" applyAlignment="1">
      <alignment horizontal="left" vertical="center"/>
    </xf>
    <xf numFmtId="0" fontId="0" fillId="0" borderId="0" xfId="0" applyFont="1" applyBorder="1" applyAlignment="1">
      <alignment horizontal="center"/>
    </xf>
    <xf numFmtId="0" fontId="0" fillId="0" borderId="0" xfId="0" applyFill="1" applyBorder="1" applyAlignment="1">
      <alignment horizontal="center" vertical="center" wrapText="1"/>
    </xf>
    <xf numFmtId="0" fontId="3" fillId="0" borderId="12" xfId="0" applyFont="1" applyBorder="1" applyAlignment="1" applyProtection="1">
      <alignment horizontal="center" vertical="center"/>
      <protection/>
    </xf>
    <xf numFmtId="0" fontId="3" fillId="14" borderId="12" xfId="0" applyFont="1" applyFill="1" applyBorder="1" applyAlignment="1">
      <alignment horizontal="center" vertical="center" wrapText="1"/>
    </xf>
    <xf numFmtId="173" fontId="3" fillId="14" borderId="12" xfId="0" applyNumberFormat="1" applyFont="1" applyFill="1" applyBorder="1" applyAlignment="1">
      <alignment horizontal="center" vertical="center" wrapText="1"/>
    </xf>
    <xf numFmtId="173" fontId="3" fillId="9" borderId="12" xfId="0" applyNumberFormat="1" applyFont="1" applyFill="1" applyBorder="1" applyAlignment="1">
      <alignment horizontal="center" vertical="center" wrapText="1"/>
    </xf>
    <xf numFmtId="2" fontId="0" fillId="5" borderId="12" xfId="0" applyNumberFormat="1" applyFont="1" applyFill="1" applyBorder="1" applyAlignment="1">
      <alignment horizontal="center" vertical="center" wrapText="1"/>
    </xf>
    <xf numFmtId="2" fontId="3" fillId="5" borderId="12" xfId="0" applyNumberFormat="1" applyFont="1" applyFill="1" applyBorder="1" applyAlignment="1">
      <alignment horizontal="center" vertical="center"/>
    </xf>
    <xf numFmtId="2" fontId="0" fillId="4" borderId="12" xfId="0" applyNumberFormat="1" applyFont="1" applyFill="1" applyBorder="1" applyAlignment="1">
      <alignment horizontal="center" vertical="center"/>
    </xf>
    <xf numFmtId="2" fontId="3" fillId="4" borderId="12" xfId="0" applyNumberFormat="1" applyFont="1" applyFill="1" applyBorder="1" applyAlignment="1">
      <alignment horizontal="center" vertical="center"/>
    </xf>
    <xf numFmtId="2" fontId="0" fillId="15" borderId="12" xfId="0" applyNumberFormat="1" applyFont="1" applyFill="1" applyBorder="1" applyAlignment="1">
      <alignment horizontal="center" vertical="center"/>
    </xf>
    <xf numFmtId="2" fontId="3" fillId="15" borderId="12" xfId="0" applyNumberFormat="1" applyFont="1" applyFill="1" applyBorder="1" applyAlignment="1">
      <alignment horizontal="center" vertical="center"/>
    </xf>
    <xf numFmtId="2" fontId="0" fillId="10" borderId="12" xfId="0" applyNumberFormat="1" applyFont="1" applyFill="1" applyBorder="1" applyAlignment="1">
      <alignment horizontal="center" vertical="center"/>
    </xf>
    <xf numFmtId="2" fontId="3" fillId="10" borderId="12" xfId="0" applyNumberFormat="1" applyFont="1" applyFill="1" applyBorder="1" applyAlignment="1">
      <alignment horizontal="center" vertical="center"/>
    </xf>
    <xf numFmtId="2" fontId="0" fillId="16" borderId="12" xfId="0" applyNumberFormat="1" applyFont="1" applyFill="1" applyBorder="1" applyAlignment="1">
      <alignment horizontal="center" vertical="center"/>
    </xf>
    <xf numFmtId="2" fontId="3" fillId="16" borderId="12" xfId="0" applyNumberFormat="1" applyFont="1" applyFill="1" applyBorder="1" applyAlignment="1">
      <alignment horizontal="center" vertical="center"/>
    </xf>
    <xf numFmtId="2" fontId="3" fillId="11" borderId="12" xfId="0" applyNumberFormat="1" applyFont="1" applyFill="1" applyBorder="1" applyAlignment="1">
      <alignment horizontal="center" vertical="center"/>
    </xf>
    <xf numFmtId="2" fontId="3" fillId="3" borderId="12" xfId="0" applyNumberFormat="1" applyFont="1" applyFill="1" applyBorder="1" applyAlignment="1">
      <alignment horizontal="center" vertical="center"/>
    </xf>
    <xf numFmtId="0" fontId="0" fillId="0" borderId="12" xfId="0" applyFill="1" applyBorder="1" applyAlignment="1">
      <alignment horizontal="center"/>
    </xf>
    <xf numFmtId="0" fontId="0" fillId="0" borderId="12" xfId="0" applyBorder="1" applyAlignment="1">
      <alignment/>
    </xf>
    <xf numFmtId="0" fontId="0" fillId="0" borderId="12" xfId="0" applyBorder="1" applyAlignment="1">
      <alignment horizontal="center" vertical="center"/>
    </xf>
    <xf numFmtId="0" fontId="27" fillId="2" borderId="12" xfId="0" applyFont="1" applyFill="1" applyBorder="1" applyAlignment="1">
      <alignment horizontal="center" vertical="center" wrapText="1"/>
    </xf>
    <xf numFmtId="0" fontId="27" fillId="14" borderId="12" xfId="0" applyFont="1" applyFill="1" applyBorder="1" applyAlignment="1">
      <alignment horizontal="left" vertical="center"/>
    </xf>
    <xf numFmtId="0" fontId="8" fillId="5" borderId="12" xfId="0" applyFont="1" applyFill="1" applyBorder="1" applyAlignment="1">
      <alignment horizontal="left" vertical="center"/>
    </xf>
    <xf numFmtId="0" fontId="27" fillId="5" borderId="12" xfId="0" applyFont="1" applyFill="1" applyBorder="1" applyAlignment="1">
      <alignment horizontal="left" vertical="center"/>
    </xf>
    <xf numFmtId="0" fontId="27" fillId="4" borderId="12" xfId="0" applyFont="1" applyFill="1" applyBorder="1" applyAlignment="1">
      <alignment horizontal="left" vertical="center"/>
    </xf>
    <xf numFmtId="0" fontId="8" fillId="15" borderId="12" xfId="0" applyFont="1" applyFill="1" applyBorder="1" applyAlignment="1">
      <alignment horizontal="left" vertical="center"/>
    </xf>
    <xf numFmtId="0" fontId="27" fillId="15" borderId="12" xfId="0" applyFont="1" applyFill="1" applyBorder="1" applyAlignment="1">
      <alignment horizontal="left" vertical="center"/>
    </xf>
    <xf numFmtId="0" fontId="8" fillId="10" borderId="12" xfId="0" applyFont="1" applyFill="1" applyBorder="1" applyAlignment="1">
      <alignment horizontal="left" vertical="center"/>
    </xf>
    <xf numFmtId="0" fontId="27" fillId="10" borderId="12" xfId="0" applyFont="1" applyFill="1" applyBorder="1" applyAlignment="1">
      <alignment horizontal="left" vertical="center"/>
    </xf>
    <xf numFmtId="0" fontId="27" fillId="16" borderId="12" xfId="0" applyFont="1" applyFill="1" applyBorder="1" applyAlignment="1">
      <alignment horizontal="left" vertical="center"/>
    </xf>
    <xf numFmtId="0" fontId="53" fillId="11" borderId="12" xfId="0" applyFont="1" applyFill="1" applyBorder="1" applyAlignment="1">
      <alignment horizontal="left" vertical="center"/>
    </xf>
    <xf numFmtId="0" fontId="53" fillId="3" borderId="12" xfId="0" applyFont="1" applyFill="1" applyBorder="1" applyAlignment="1">
      <alignment horizontal="left" vertical="center"/>
    </xf>
    <xf numFmtId="0" fontId="12" fillId="3" borderId="0" xfId="0" applyFont="1" applyFill="1" applyAlignment="1">
      <alignment horizontal="left" vertical="center"/>
    </xf>
    <xf numFmtId="0" fontId="0" fillId="5" borderId="12" xfId="0" applyFont="1" applyFill="1" applyBorder="1" applyAlignment="1">
      <alignment vertical="center"/>
    </xf>
    <xf numFmtId="0" fontId="0" fillId="12" borderId="12" xfId="0" applyFill="1" applyBorder="1" applyAlignment="1">
      <alignment horizontal="center"/>
    </xf>
    <xf numFmtId="0" fontId="0" fillId="0" borderId="12" xfId="0" applyFill="1" applyBorder="1" applyAlignment="1">
      <alignment vertical="center"/>
    </xf>
    <xf numFmtId="0" fontId="27" fillId="0" borderId="12" xfId="0" applyFont="1" applyFill="1" applyBorder="1" applyAlignment="1">
      <alignment horizontal="left" vertical="center"/>
    </xf>
    <xf numFmtId="0" fontId="0" fillId="2" borderId="0" xfId="0" applyFill="1" applyBorder="1" applyAlignment="1">
      <alignment/>
    </xf>
    <xf numFmtId="0" fontId="0" fillId="2" borderId="0" xfId="0" applyFill="1" applyBorder="1" applyAlignment="1" applyProtection="1">
      <alignment/>
      <protection locked="0"/>
    </xf>
    <xf numFmtId="0" fontId="0" fillId="5" borderId="25" xfId="0" applyFont="1" applyFill="1" applyBorder="1" applyAlignment="1" applyProtection="1">
      <alignment/>
      <protection locked="0"/>
    </xf>
    <xf numFmtId="0" fontId="52" fillId="3" borderId="0" xfId="0" applyFont="1" applyFill="1" applyAlignment="1">
      <alignment horizontal="left" vertical="center"/>
    </xf>
    <xf numFmtId="0" fontId="46" fillId="3" borderId="0" xfId="0" applyFont="1" applyFill="1" applyAlignment="1">
      <alignment/>
    </xf>
    <xf numFmtId="0" fontId="61" fillId="3" borderId="0" xfId="0" applyFont="1" applyFill="1" applyAlignment="1">
      <alignment/>
    </xf>
    <xf numFmtId="1" fontId="15" fillId="4" borderId="25" xfId="0" applyNumberFormat="1" applyFont="1" applyFill="1" applyBorder="1" applyAlignment="1" applyProtection="1">
      <alignment horizontal="center" vertical="center"/>
      <protection/>
    </xf>
    <xf numFmtId="0" fontId="33" fillId="2" borderId="0" xfId="0" applyFont="1" applyFill="1" applyAlignment="1">
      <alignment horizontal="right" vertical="center"/>
    </xf>
    <xf numFmtId="2" fontId="33" fillId="10" borderId="40" xfId="0" applyNumberFormat="1" applyFont="1" applyFill="1" applyBorder="1" applyAlignment="1">
      <alignment horizontal="center" vertical="center"/>
    </xf>
    <xf numFmtId="2" fontId="68" fillId="10" borderId="40" xfId="0" applyNumberFormat="1" applyFont="1" applyFill="1" applyBorder="1" applyAlignment="1">
      <alignment horizontal="center" vertical="center"/>
    </xf>
    <xf numFmtId="0" fontId="69" fillId="2" borderId="0" xfId="0" applyFont="1" applyFill="1" applyAlignment="1">
      <alignment horizontal="right" vertical="center"/>
    </xf>
    <xf numFmtId="0" fontId="52" fillId="3" borderId="0" xfId="0" applyFont="1" applyFill="1" applyAlignment="1">
      <alignment horizontal="left" vertical="center"/>
    </xf>
    <xf numFmtId="0" fontId="12" fillId="3" borderId="0" xfId="0" applyFont="1" applyFill="1" applyAlignment="1">
      <alignment horizontal="left" vertical="center"/>
    </xf>
    <xf numFmtId="0" fontId="49" fillId="3" borderId="0" xfId="0" applyFont="1" applyFill="1" applyAlignment="1">
      <alignment horizontal="center" vertical="center" wrapText="1"/>
    </xf>
    <xf numFmtId="0" fontId="52" fillId="3" borderId="0" xfId="0" applyFont="1" applyFill="1" applyAlignment="1">
      <alignment horizontal="left" vertical="center" wrapText="1"/>
    </xf>
    <xf numFmtId="0" fontId="12" fillId="3" borderId="0" xfId="0" applyFont="1" applyFill="1" applyAlignment="1">
      <alignment horizontal="left" vertical="center" wrapText="1"/>
    </xf>
    <xf numFmtId="0" fontId="3" fillId="2" borderId="0" xfId="0" applyFont="1" applyFill="1" applyAlignment="1">
      <alignment horizontal="center" vertical="center"/>
    </xf>
    <xf numFmtId="2" fontId="39" fillId="7" borderId="41" xfId="0" applyNumberFormat="1" applyFont="1" applyFill="1" applyBorder="1" applyAlignment="1">
      <alignment horizontal="left" vertical="center"/>
    </xf>
    <xf numFmtId="0" fontId="38" fillId="7" borderId="41" xfId="0" applyFont="1" applyFill="1" applyBorder="1" applyAlignment="1">
      <alignment vertical="center"/>
    </xf>
    <xf numFmtId="0" fontId="33" fillId="6" borderId="42" xfId="0" applyFont="1" applyFill="1" applyBorder="1" applyAlignment="1">
      <alignment horizontal="center" vertical="center"/>
    </xf>
    <xf numFmtId="0" fontId="0" fillId="6" borderId="43" xfId="0" applyFill="1" applyBorder="1" applyAlignment="1">
      <alignment vertical="center"/>
    </xf>
    <xf numFmtId="0" fontId="0" fillId="6" borderId="44" xfId="0" applyFill="1" applyBorder="1" applyAlignment="1">
      <alignment vertical="center"/>
    </xf>
    <xf numFmtId="0" fontId="0" fillId="6" borderId="45" xfId="0" applyFill="1" applyBorder="1" applyAlignment="1">
      <alignment vertical="center"/>
    </xf>
    <xf numFmtId="2" fontId="33" fillId="6" borderId="46" xfId="0" applyNumberFormat="1" applyFont="1" applyFill="1" applyBorder="1" applyAlignment="1">
      <alignment horizontal="left" vertical="center"/>
    </xf>
    <xf numFmtId="0" fontId="0" fillId="6" borderId="47" xfId="0" applyFill="1" applyBorder="1" applyAlignment="1">
      <alignment vertical="center"/>
    </xf>
    <xf numFmtId="173" fontId="50" fillId="5" borderId="12" xfId="0" applyNumberFormat="1" applyFont="1" applyFill="1" applyBorder="1" applyAlignment="1" applyProtection="1">
      <alignment horizontal="center" vertical="center"/>
      <protection locked="0"/>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7" fillId="2" borderId="0"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70" fillId="0" borderId="0" xfId="0" applyFont="1" applyFill="1" applyAlignment="1">
      <alignment horizontal="center" vertical="center"/>
    </xf>
    <xf numFmtId="0" fontId="7" fillId="5" borderId="50" xfId="0" applyFont="1" applyFill="1" applyBorder="1" applyAlignment="1" applyProtection="1">
      <alignment horizontal="center" vertical="center"/>
      <protection locked="0"/>
    </xf>
    <xf numFmtId="0" fontId="7" fillId="5" borderId="51" xfId="0" applyFont="1" applyFill="1" applyBorder="1" applyAlignment="1" applyProtection="1">
      <alignment horizontal="center" vertical="center"/>
      <protection locked="0"/>
    </xf>
    <xf numFmtId="0" fontId="0" fillId="0" borderId="0" xfId="0" applyFont="1" applyAlignment="1">
      <alignment vertical="center"/>
    </xf>
    <xf numFmtId="0" fontId="50" fillId="5" borderId="12"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protection/>
    </xf>
    <xf numFmtId="0" fontId="6" fillId="4" borderId="49" xfId="0"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52" xfId="0" applyFont="1" applyFill="1" applyBorder="1" applyAlignment="1" applyProtection="1">
      <alignment horizontal="center" vertical="center"/>
      <protection/>
    </xf>
    <xf numFmtId="0" fontId="6" fillId="4" borderId="48" xfId="0" applyFont="1" applyFill="1" applyBorder="1" applyAlignment="1">
      <alignment horizontal="center" vertical="center"/>
    </xf>
    <xf numFmtId="0" fontId="6" fillId="4" borderId="49" xfId="0" applyFont="1" applyFill="1" applyBorder="1" applyAlignment="1">
      <alignment horizontal="center" vertical="center"/>
    </xf>
    <xf numFmtId="2" fontId="39" fillId="7" borderId="53" xfId="0" applyNumberFormat="1" applyFont="1" applyFill="1" applyBorder="1" applyAlignment="1">
      <alignment horizontal="left" vertical="center"/>
    </xf>
    <xf numFmtId="2" fontId="39" fillId="7" borderId="54" xfId="0" applyNumberFormat="1" applyFont="1" applyFill="1" applyBorder="1" applyAlignment="1">
      <alignment horizontal="lef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76</xdr:row>
      <xdr:rowOff>57150</xdr:rowOff>
    </xdr:from>
    <xdr:to>
      <xdr:col>7</xdr:col>
      <xdr:colOff>361950</xdr:colOff>
      <xdr:row>86</xdr:row>
      <xdr:rowOff>114300</xdr:rowOff>
    </xdr:to>
    <xdr:sp>
      <xdr:nvSpPr>
        <xdr:cNvPr id="1" name="Texte 32"/>
        <xdr:cNvSpPr txBox="1">
          <a:spLocks noChangeArrowheads="1"/>
        </xdr:cNvSpPr>
      </xdr:nvSpPr>
      <xdr:spPr>
        <a:xfrm>
          <a:off x="66675" y="11782425"/>
          <a:ext cx="4772025" cy="1676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La méthode de calcul est à rattacher au code de calcul applicable à l'époque de la construction de l'ouvrage. A défaut d'informations précises sur la méthode employée, on considèrera :
- pour les ouvrages construits avant 1975, que l'ouvrage a été conçu en </a:t>
          </a:r>
          <a:r>
            <a:rPr lang="en-US" cap="none" sz="900" b="0" i="0" u="none" baseline="0">
              <a:solidFill>
                <a:srgbClr val="0000FF"/>
              </a:solidFill>
              <a:latin typeface="Arial"/>
              <a:ea typeface="Arial"/>
              <a:cs typeface="Arial"/>
            </a:rPr>
            <a:t>statique</a:t>
          </a:r>
          <a:r>
            <a:rPr lang="en-US" cap="none" sz="900" b="0" i="0" u="none" baseline="0">
              <a:latin typeface="Arial"/>
              <a:ea typeface="Arial"/>
              <a:cs typeface="Arial"/>
            </a:rPr>
            <a:t> (pas de séisme pris en compte).
- pour les ouvrages construits entre 1975 et 1995, que la méthode de calcul prend en compte un effort sismique</a:t>
          </a:r>
          <a:r>
            <a:rPr lang="en-US" cap="none" sz="900" b="0" i="0" u="none" baseline="0">
              <a:solidFill>
                <a:srgbClr val="0000FF"/>
              </a:solidFill>
              <a:latin typeface="Arial"/>
              <a:ea typeface="Arial"/>
              <a:cs typeface="Arial"/>
            </a:rPr>
            <a:t> statique équivalent à 0,1g</a:t>
          </a:r>
          <a:r>
            <a:rPr lang="en-US" cap="none" sz="900" b="0" i="0" u="none" baseline="0">
              <a:latin typeface="Arial"/>
              <a:ea typeface="Arial"/>
              <a:cs typeface="Arial"/>
            </a:rPr>
            <a:t> (en horizontal).
- pour les ouvrages construits après novembre 95, que la méthode de calcul prend en compte les règles parasismiques </a:t>
          </a:r>
          <a:r>
            <a:rPr lang="en-US" cap="none" sz="900" b="0" i="0" u="none" baseline="0">
              <a:solidFill>
                <a:srgbClr val="0000FF"/>
              </a:solidFill>
              <a:latin typeface="Arial"/>
              <a:ea typeface="Arial"/>
              <a:cs typeface="Arial"/>
            </a:rPr>
            <a:t>PS 92.</a:t>
          </a:r>
        </a:p>
      </xdr:txBody>
    </xdr:sp>
    <xdr:clientData/>
  </xdr:twoCellAnchor>
  <xdr:twoCellAnchor>
    <xdr:from>
      <xdr:col>0</xdr:col>
      <xdr:colOff>66675</xdr:colOff>
      <xdr:row>90</xdr:row>
      <xdr:rowOff>85725</xdr:rowOff>
    </xdr:from>
    <xdr:to>
      <xdr:col>7</xdr:col>
      <xdr:colOff>361950</xdr:colOff>
      <xdr:row>97</xdr:row>
      <xdr:rowOff>38100</xdr:rowOff>
    </xdr:to>
    <xdr:sp>
      <xdr:nvSpPr>
        <xdr:cNvPr id="2" name="Texte 32"/>
        <xdr:cNvSpPr txBox="1">
          <a:spLocks noChangeArrowheads="1"/>
        </xdr:cNvSpPr>
      </xdr:nvSpPr>
      <xdr:spPr>
        <a:xfrm>
          <a:off x="66675" y="14163675"/>
          <a:ext cx="4772025" cy="10858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 Les travées sont considérées être </a:t>
          </a:r>
          <a:r>
            <a:rPr lang="en-US" cap="none" sz="900" b="0" i="0" u="none" baseline="0">
              <a:solidFill>
                <a:srgbClr val="0000FF"/>
              </a:solidFill>
              <a:latin typeface="Arial"/>
              <a:ea typeface="Arial"/>
              <a:cs typeface="Arial"/>
            </a:rPr>
            <a:t>indépendantes</a:t>
          </a:r>
          <a:r>
            <a:rPr lang="en-US" cap="none" sz="900" b="0" i="0" u="none" baseline="0">
              <a:latin typeface="Arial"/>
              <a:ea typeface="Arial"/>
              <a:cs typeface="Arial"/>
            </a:rPr>
            <a:t> si des mouvements relatifs, de l'une par rapport à l'autre, sont possibles. Elles sont alors séparées par des joints de chaussées.
- Les travées sont considérées être </a:t>
          </a:r>
          <a:r>
            <a:rPr lang="en-US" cap="none" sz="900" b="0" i="0" u="none" baseline="0">
              <a:solidFill>
                <a:srgbClr val="0000FF"/>
              </a:solidFill>
              <a:latin typeface="Arial"/>
              <a:ea typeface="Arial"/>
              <a:cs typeface="Arial"/>
            </a:rPr>
            <a:t>continues</a:t>
          </a:r>
          <a:r>
            <a:rPr lang="en-US" cap="none" sz="900" b="0" i="0" u="none" baseline="0">
              <a:latin typeface="Arial"/>
              <a:ea typeface="Arial"/>
              <a:cs typeface="Arial"/>
            </a:rPr>
            <a:t> si les mouvements de translation de l'une par rapport à l'autre sont impossibles.
</a:t>
          </a:r>
          <a:r>
            <a:rPr lang="en-US" cap="none" sz="900" b="0" i="0" u="sng" baseline="0">
              <a:latin typeface="Arial"/>
              <a:ea typeface="Arial"/>
              <a:cs typeface="Arial"/>
            </a:rPr>
            <a:t>Rq</a:t>
          </a:r>
          <a:r>
            <a:rPr lang="en-US" cap="none" sz="900" b="0" i="0" u="none" baseline="0">
              <a:latin typeface="Arial"/>
              <a:ea typeface="Arial"/>
              <a:cs typeface="Arial"/>
            </a:rPr>
            <a:t>: les VIPP attelés a posteriori sont considérés comme continus.</a:t>
          </a:r>
        </a:p>
      </xdr:txBody>
    </xdr:sp>
    <xdr:clientData/>
  </xdr:twoCellAnchor>
  <xdr:twoCellAnchor>
    <xdr:from>
      <xdr:col>0</xdr:col>
      <xdr:colOff>66675</xdr:colOff>
      <xdr:row>104</xdr:row>
      <xdr:rowOff>114300</xdr:rowOff>
    </xdr:from>
    <xdr:to>
      <xdr:col>7</xdr:col>
      <xdr:colOff>361950</xdr:colOff>
      <xdr:row>107</xdr:row>
      <xdr:rowOff>76200</xdr:rowOff>
    </xdr:to>
    <xdr:sp>
      <xdr:nvSpPr>
        <xdr:cNvPr id="3" name="Texte 32"/>
        <xdr:cNvSpPr txBox="1">
          <a:spLocks noChangeArrowheads="1"/>
        </xdr:cNvSpPr>
      </xdr:nvSpPr>
      <xdr:spPr>
        <a:xfrm>
          <a:off x="66675" y="16630650"/>
          <a:ext cx="4772025" cy="4476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Indiquer la classe IQOA de l'ouvrage établie lors de la dernière Inspection Détaillée Périodique.
</a:t>
          </a:r>
        </a:p>
      </xdr:txBody>
    </xdr:sp>
    <xdr:clientData/>
  </xdr:twoCellAnchor>
  <xdr:twoCellAnchor>
    <xdr:from>
      <xdr:col>0</xdr:col>
      <xdr:colOff>66675</xdr:colOff>
      <xdr:row>50</xdr:row>
      <xdr:rowOff>0</xdr:rowOff>
    </xdr:from>
    <xdr:to>
      <xdr:col>7</xdr:col>
      <xdr:colOff>361950</xdr:colOff>
      <xdr:row>51</xdr:row>
      <xdr:rowOff>142875</xdr:rowOff>
    </xdr:to>
    <xdr:sp>
      <xdr:nvSpPr>
        <xdr:cNvPr id="4" name="Texte 32"/>
        <xdr:cNvSpPr txBox="1">
          <a:spLocks noChangeArrowheads="1"/>
        </xdr:cNvSpPr>
      </xdr:nvSpPr>
      <xdr:spPr>
        <a:xfrm>
          <a:off x="66675" y="8620125"/>
          <a:ext cx="4772025" cy="3048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Demandé à titre informatif (n'intervient pas dans le calcul des vulnérabilités).</a:t>
          </a:r>
        </a:p>
      </xdr:txBody>
    </xdr:sp>
    <xdr:clientData/>
  </xdr:twoCellAnchor>
  <xdr:twoCellAnchor>
    <xdr:from>
      <xdr:col>0</xdr:col>
      <xdr:colOff>66675</xdr:colOff>
      <xdr:row>55</xdr:row>
      <xdr:rowOff>0</xdr:rowOff>
    </xdr:from>
    <xdr:to>
      <xdr:col>7</xdr:col>
      <xdr:colOff>361950</xdr:colOff>
      <xdr:row>58</xdr:row>
      <xdr:rowOff>57150</xdr:rowOff>
    </xdr:to>
    <xdr:sp>
      <xdr:nvSpPr>
        <xdr:cNvPr id="5" name="Texte 32"/>
        <xdr:cNvSpPr txBox="1">
          <a:spLocks noChangeArrowheads="1"/>
        </xdr:cNvSpPr>
      </xdr:nvSpPr>
      <xdr:spPr>
        <a:xfrm>
          <a:off x="66675" y="9105900"/>
          <a:ext cx="4772025" cy="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Demandé à titre informatif.
Cliquez ci-dessous sur cellule A60 pour visualiser l'image liée.</a:t>
          </a:r>
        </a:p>
      </xdr:txBody>
    </xdr:sp>
    <xdr:clientData/>
  </xdr:twoCellAnchor>
  <xdr:twoCellAnchor>
    <xdr:from>
      <xdr:col>0</xdr:col>
      <xdr:colOff>66675</xdr:colOff>
      <xdr:row>126</xdr:row>
      <xdr:rowOff>104775</xdr:rowOff>
    </xdr:from>
    <xdr:to>
      <xdr:col>2</xdr:col>
      <xdr:colOff>476250</xdr:colOff>
      <xdr:row>129</xdr:row>
      <xdr:rowOff>104775</xdr:rowOff>
    </xdr:to>
    <xdr:sp>
      <xdr:nvSpPr>
        <xdr:cNvPr id="6" name="Texte 32"/>
        <xdr:cNvSpPr txBox="1">
          <a:spLocks noChangeArrowheads="1"/>
        </xdr:cNvSpPr>
      </xdr:nvSpPr>
      <xdr:spPr>
        <a:xfrm>
          <a:off x="66675" y="20850225"/>
          <a:ext cx="1638300" cy="6381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latin typeface="Arial"/>
              <a:ea typeface="Arial"/>
              <a:cs typeface="Arial"/>
            </a:rPr>
            <a:t>Indiquer l'accélération au sol en incluant les éventuels effets de site
</a:t>
          </a:r>
        </a:p>
      </xdr:txBody>
    </xdr:sp>
    <xdr:clientData/>
  </xdr:twoCellAnchor>
  <xdr:twoCellAnchor>
    <xdr:from>
      <xdr:col>0</xdr:col>
      <xdr:colOff>66675</xdr:colOff>
      <xdr:row>131</xdr:row>
      <xdr:rowOff>95250</xdr:rowOff>
    </xdr:from>
    <xdr:to>
      <xdr:col>2</xdr:col>
      <xdr:colOff>476250</xdr:colOff>
      <xdr:row>133</xdr:row>
      <xdr:rowOff>114300</xdr:rowOff>
    </xdr:to>
    <xdr:sp>
      <xdr:nvSpPr>
        <xdr:cNvPr id="7" name="Texte 32"/>
        <xdr:cNvSpPr txBox="1">
          <a:spLocks noChangeArrowheads="1"/>
        </xdr:cNvSpPr>
      </xdr:nvSpPr>
      <xdr:spPr>
        <a:xfrm>
          <a:off x="66675" y="21878925"/>
          <a:ext cx="1638300" cy="4572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latin typeface="Arial"/>
              <a:ea typeface="Arial"/>
              <a:cs typeface="Arial"/>
            </a:rPr>
            <a:t>Indiquer l'accélération critique de liquéfaction
</a:t>
          </a:r>
        </a:p>
      </xdr:txBody>
    </xdr:sp>
    <xdr:clientData/>
  </xdr:twoCellAnchor>
  <xdr:twoCellAnchor>
    <xdr:from>
      <xdr:col>0</xdr:col>
      <xdr:colOff>66675</xdr:colOff>
      <xdr:row>135</xdr:row>
      <xdr:rowOff>95250</xdr:rowOff>
    </xdr:from>
    <xdr:to>
      <xdr:col>2</xdr:col>
      <xdr:colOff>476250</xdr:colOff>
      <xdr:row>137</xdr:row>
      <xdr:rowOff>114300</xdr:rowOff>
    </xdr:to>
    <xdr:sp>
      <xdr:nvSpPr>
        <xdr:cNvPr id="8" name="Texte 32"/>
        <xdr:cNvSpPr txBox="1">
          <a:spLocks noChangeArrowheads="1"/>
        </xdr:cNvSpPr>
      </xdr:nvSpPr>
      <xdr:spPr>
        <a:xfrm>
          <a:off x="66675" y="22717125"/>
          <a:ext cx="1638300" cy="4572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latin typeface="Arial"/>
              <a:ea typeface="Arial"/>
              <a:cs typeface="Arial"/>
            </a:rPr>
            <a:t>Indiquer l'accélération critique de glissement
</a:t>
          </a:r>
        </a:p>
      </xdr:txBody>
    </xdr:sp>
    <xdr:clientData/>
  </xdr:twoCellAnchor>
  <xdr:twoCellAnchor>
    <xdr:from>
      <xdr:col>0</xdr:col>
      <xdr:colOff>66675</xdr:colOff>
      <xdr:row>139</xdr:row>
      <xdr:rowOff>95250</xdr:rowOff>
    </xdr:from>
    <xdr:to>
      <xdr:col>2</xdr:col>
      <xdr:colOff>476250</xdr:colOff>
      <xdr:row>141</xdr:row>
      <xdr:rowOff>114300</xdr:rowOff>
    </xdr:to>
    <xdr:sp>
      <xdr:nvSpPr>
        <xdr:cNvPr id="9" name="Texte 32"/>
        <xdr:cNvSpPr txBox="1">
          <a:spLocks noChangeArrowheads="1"/>
        </xdr:cNvSpPr>
      </xdr:nvSpPr>
      <xdr:spPr>
        <a:xfrm>
          <a:off x="66675" y="23555325"/>
          <a:ext cx="1638300" cy="4572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900" b="0" i="0" u="none" baseline="0">
              <a:latin typeface="Arial"/>
              <a:ea typeface="Arial"/>
              <a:cs typeface="Arial"/>
            </a:rPr>
            <a:t>Indiquer l'accélération critique de chute de blocs
</a:t>
          </a:r>
        </a:p>
      </xdr:txBody>
    </xdr:sp>
    <xdr:clientData/>
  </xdr:twoCellAnchor>
  <xdr:twoCellAnchor>
    <xdr:from>
      <xdr:col>0</xdr:col>
      <xdr:colOff>9525</xdr:colOff>
      <xdr:row>3</xdr:row>
      <xdr:rowOff>142875</xdr:rowOff>
    </xdr:from>
    <xdr:to>
      <xdr:col>1</xdr:col>
      <xdr:colOff>247650</xdr:colOff>
      <xdr:row>9</xdr:row>
      <xdr:rowOff>0</xdr:rowOff>
    </xdr:to>
    <xdr:pic>
      <xdr:nvPicPr>
        <xdr:cNvPr id="10" name="Picture 19"/>
        <xdr:cNvPicPr preferRelativeResize="1">
          <a:picLocks noChangeAspect="1"/>
        </xdr:cNvPicPr>
      </xdr:nvPicPr>
      <xdr:blipFill>
        <a:blip r:embed="rId1"/>
        <a:srcRect r="49441" b="4530"/>
        <a:stretch>
          <a:fillRect/>
        </a:stretch>
      </xdr:blipFill>
      <xdr:spPr>
        <a:xfrm>
          <a:off x="9525" y="885825"/>
          <a:ext cx="942975" cy="942975"/>
        </a:xfrm>
        <a:prstGeom prst="rect">
          <a:avLst/>
        </a:prstGeom>
        <a:noFill/>
        <a:ln w="9525" cmpd="sng">
          <a:noFill/>
        </a:ln>
      </xdr:spPr>
    </xdr:pic>
    <xdr:clientData/>
  </xdr:twoCellAnchor>
  <xdr:twoCellAnchor>
    <xdr:from>
      <xdr:col>7</xdr:col>
      <xdr:colOff>619125</xdr:colOff>
      <xdr:row>3</xdr:row>
      <xdr:rowOff>152400</xdr:rowOff>
    </xdr:from>
    <xdr:to>
      <xdr:col>8</xdr:col>
      <xdr:colOff>523875</xdr:colOff>
      <xdr:row>8</xdr:row>
      <xdr:rowOff>142875</xdr:rowOff>
    </xdr:to>
    <xdr:pic>
      <xdr:nvPicPr>
        <xdr:cNvPr id="11" name="Picture 20"/>
        <xdr:cNvPicPr preferRelativeResize="1">
          <a:picLocks noChangeAspect="1"/>
        </xdr:cNvPicPr>
      </xdr:nvPicPr>
      <xdr:blipFill>
        <a:blip r:embed="rId2"/>
        <a:stretch>
          <a:fillRect/>
        </a:stretch>
      </xdr:blipFill>
      <xdr:spPr>
        <a:xfrm>
          <a:off x="5095875" y="895350"/>
          <a:ext cx="695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5</xdr:row>
      <xdr:rowOff>76200</xdr:rowOff>
    </xdr:from>
    <xdr:to>
      <xdr:col>7</xdr:col>
      <xdr:colOff>0</xdr:colOff>
      <xdr:row>13</xdr:row>
      <xdr:rowOff>95250</xdr:rowOff>
    </xdr:to>
    <xdr:grpSp>
      <xdr:nvGrpSpPr>
        <xdr:cNvPr id="1" name="Group 95"/>
        <xdr:cNvGrpSpPr>
          <a:grpSpLocks/>
        </xdr:cNvGrpSpPr>
      </xdr:nvGrpSpPr>
      <xdr:grpSpPr>
        <a:xfrm>
          <a:off x="342900" y="1123950"/>
          <a:ext cx="3371850" cy="1314450"/>
          <a:chOff x="36" y="118"/>
          <a:chExt cx="354" cy="138"/>
        </a:xfrm>
        <a:solidFill>
          <a:srgbClr val="FFFFFF"/>
        </a:solidFill>
      </xdr:grpSpPr>
      <xdr:sp>
        <xdr:nvSpPr>
          <xdr:cNvPr id="2" name="Rectangle 2"/>
          <xdr:cNvSpPr>
            <a:spLocks/>
          </xdr:cNvSpPr>
        </xdr:nvSpPr>
        <xdr:spPr>
          <a:xfrm>
            <a:off x="36" y="147"/>
            <a:ext cx="354" cy="74"/>
          </a:xfrm>
          <a:prstGeom prst="rect">
            <a:avLst/>
          </a:prstGeom>
          <a:solidFill>
            <a:srgbClr val="CB8803"/>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Arc 3"/>
          <xdr:cNvSpPr>
            <a:spLocks/>
          </xdr:cNvSpPr>
        </xdr:nvSpPr>
        <xdr:spPr>
          <a:xfrm flipH="1">
            <a:off x="142" y="166"/>
            <a:ext cx="71" cy="56"/>
          </a:xfrm>
          <a:prstGeom prst="arc">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rc 4"/>
          <xdr:cNvSpPr>
            <a:spLocks/>
          </xdr:cNvSpPr>
        </xdr:nvSpPr>
        <xdr:spPr>
          <a:xfrm>
            <a:off x="213" y="166"/>
            <a:ext cx="71" cy="56"/>
          </a:xfrm>
          <a:prstGeom prst="arc">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rc 5"/>
          <xdr:cNvSpPr>
            <a:spLocks/>
          </xdr:cNvSpPr>
        </xdr:nvSpPr>
        <xdr:spPr>
          <a:xfrm flipH="1">
            <a:off x="319" y="165"/>
            <a:ext cx="71" cy="56"/>
          </a:xfrm>
          <a:prstGeom prst="arc">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282" y="221"/>
            <a:ext cx="39" cy="15"/>
          </a:xfrm>
          <a:prstGeom prst="rect">
            <a:avLst/>
          </a:prstGeom>
          <a:solidFill>
            <a:srgbClr val="CB8803"/>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7"/>
          <xdr:cNvSpPr>
            <a:spLocks/>
          </xdr:cNvSpPr>
        </xdr:nvSpPr>
        <xdr:spPr>
          <a:xfrm>
            <a:off x="284" y="236"/>
            <a:ext cx="35" cy="20"/>
          </a:xfrm>
          <a:custGeom>
            <a:pathLst>
              <a:path h="28" w="79">
                <a:moveTo>
                  <a:pt x="0" y="0"/>
                </a:moveTo>
                <a:lnTo>
                  <a:pt x="0" y="28"/>
                </a:lnTo>
                <a:lnTo>
                  <a:pt x="12" y="21"/>
                </a:lnTo>
                <a:lnTo>
                  <a:pt x="28" y="25"/>
                </a:lnTo>
                <a:lnTo>
                  <a:pt x="36" y="20"/>
                </a:lnTo>
                <a:lnTo>
                  <a:pt x="56" y="25"/>
                </a:lnTo>
                <a:lnTo>
                  <a:pt x="68" y="26"/>
                </a:lnTo>
                <a:lnTo>
                  <a:pt x="76" y="18"/>
                </a:lnTo>
                <a:lnTo>
                  <a:pt x="79" y="13"/>
                </a:lnTo>
                <a:lnTo>
                  <a:pt x="79" y="0"/>
                </a:lnTo>
                <a:lnTo>
                  <a:pt x="0" y="0"/>
                </a:lnTo>
              </a:path>
            </a:pathLst>
          </a:custGeom>
          <a:solidFill>
            <a:srgbClr val="CB8803"/>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rc 8"/>
          <xdr:cNvSpPr>
            <a:spLocks/>
          </xdr:cNvSpPr>
        </xdr:nvSpPr>
        <xdr:spPr>
          <a:xfrm>
            <a:off x="36" y="166"/>
            <a:ext cx="71" cy="56"/>
          </a:xfrm>
          <a:prstGeom prst="arc">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105" y="221"/>
            <a:ext cx="39" cy="15"/>
          </a:xfrm>
          <a:prstGeom prst="rect">
            <a:avLst/>
          </a:prstGeom>
          <a:solidFill>
            <a:srgbClr val="CB8803"/>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10"/>
          <xdr:cNvSpPr>
            <a:spLocks/>
          </xdr:cNvSpPr>
        </xdr:nvSpPr>
        <xdr:spPr>
          <a:xfrm>
            <a:off x="107" y="236"/>
            <a:ext cx="35" cy="20"/>
          </a:xfrm>
          <a:custGeom>
            <a:pathLst>
              <a:path h="28" w="79">
                <a:moveTo>
                  <a:pt x="0" y="0"/>
                </a:moveTo>
                <a:lnTo>
                  <a:pt x="0" y="28"/>
                </a:lnTo>
                <a:lnTo>
                  <a:pt x="12" y="21"/>
                </a:lnTo>
                <a:lnTo>
                  <a:pt x="28" y="25"/>
                </a:lnTo>
                <a:lnTo>
                  <a:pt x="36" y="20"/>
                </a:lnTo>
                <a:lnTo>
                  <a:pt x="56" y="25"/>
                </a:lnTo>
                <a:lnTo>
                  <a:pt x="68" y="26"/>
                </a:lnTo>
                <a:lnTo>
                  <a:pt x="76" y="18"/>
                </a:lnTo>
                <a:lnTo>
                  <a:pt x="79" y="13"/>
                </a:lnTo>
                <a:lnTo>
                  <a:pt x="79" y="0"/>
                </a:lnTo>
                <a:lnTo>
                  <a:pt x="0" y="0"/>
                </a:lnTo>
              </a:path>
            </a:pathLst>
          </a:custGeom>
          <a:solidFill>
            <a:srgbClr val="CB8803"/>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36" y="135"/>
            <a:ext cx="353" cy="12"/>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82" y="221"/>
            <a:ext cx="43" cy="18"/>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82" y="147"/>
            <a:ext cx="43" cy="18"/>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V="1">
            <a:off x="86" y="163"/>
            <a:ext cx="0" cy="74"/>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sp>
        <xdr:nvSpPr>
          <xdr:cNvPr id="15" name="TextBox 15"/>
          <xdr:cNvSpPr txBox="1">
            <a:spLocks noChangeArrowheads="1"/>
          </xdr:cNvSpPr>
        </xdr:nvSpPr>
        <xdr:spPr>
          <a:xfrm>
            <a:off x="67" y="196"/>
            <a:ext cx="29" cy="21"/>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h1</a:t>
            </a:r>
          </a:p>
        </xdr:txBody>
      </xdr:sp>
      <xdr:sp>
        <xdr:nvSpPr>
          <xdr:cNvPr id="16" name="Line 16"/>
          <xdr:cNvSpPr>
            <a:spLocks/>
          </xdr:cNvSpPr>
        </xdr:nvSpPr>
        <xdr:spPr>
          <a:xfrm flipH="1">
            <a:off x="212" y="148"/>
            <a:ext cx="43" cy="18"/>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flipH="1">
            <a:off x="213" y="129"/>
            <a:ext cx="42" cy="18"/>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flipH="1" flipV="1">
            <a:off x="252" y="128"/>
            <a:ext cx="0" cy="2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sp>
        <xdr:nvSpPr>
          <xdr:cNvPr id="19" name="TextBox 19"/>
          <xdr:cNvSpPr txBox="1">
            <a:spLocks noChangeArrowheads="1"/>
          </xdr:cNvSpPr>
        </xdr:nvSpPr>
        <xdr:spPr>
          <a:xfrm>
            <a:off x="258" y="118"/>
            <a:ext cx="26" cy="19"/>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h2</a:t>
            </a:r>
          </a:p>
        </xdr:txBody>
      </xdr:sp>
    </xdr:grpSp>
    <xdr:clientData/>
  </xdr:twoCellAnchor>
  <xdr:twoCellAnchor>
    <xdr:from>
      <xdr:col>0</xdr:col>
      <xdr:colOff>142875</xdr:colOff>
      <xdr:row>19</xdr:row>
      <xdr:rowOff>9525</xdr:rowOff>
    </xdr:from>
    <xdr:to>
      <xdr:col>8</xdr:col>
      <xdr:colOff>438150</xdr:colOff>
      <xdr:row>22</xdr:row>
      <xdr:rowOff>152400</xdr:rowOff>
    </xdr:to>
    <xdr:sp>
      <xdr:nvSpPr>
        <xdr:cNvPr id="20" name="Texte 32"/>
        <xdr:cNvSpPr txBox="1">
          <a:spLocks noChangeArrowheads="1"/>
        </xdr:cNvSpPr>
      </xdr:nvSpPr>
      <xdr:spPr>
        <a:xfrm>
          <a:off x="142875" y="3495675"/>
          <a:ext cx="4524375" cy="6286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Lorsque sur un même ouvrage, les épaisseurs varient, on prendra pour h</a:t>
          </a:r>
          <a:r>
            <a:rPr lang="en-US" cap="none" sz="900" b="0" i="0" u="none" baseline="-25000">
              <a:latin typeface="Arial"/>
              <a:ea typeface="Arial"/>
              <a:cs typeface="Arial"/>
            </a:rPr>
            <a:t>1</a:t>
          </a:r>
          <a:r>
            <a:rPr lang="en-US" cap="none" sz="900" b="0" i="0" u="none" baseline="0">
              <a:latin typeface="Arial"/>
              <a:ea typeface="Arial"/>
              <a:cs typeface="Arial"/>
            </a:rPr>
            <a:t> et h</a:t>
          </a:r>
          <a:r>
            <a:rPr lang="en-US" cap="none" sz="900" b="0" i="0" u="none" baseline="-25000">
              <a:latin typeface="Arial"/>
              <a:ea typeface="Arial"/>
              <a:cs typeface="Arial"/>
            </a:rPr>
            <a:t>2</a:t>
          </a:r>
          <a:r>
            <a:rPr lang="en-US" cap="none" sz="900" b="0" i="0" u="none" baseline="0">
              <a:latin typeface="Arial"/>
              <a:ea typeface="Arial"/>
              <a:cs typeface="Arial"/>
            </a:rPr>
            <a:t> les valeurs les plus défavorables. En particulier, lorsque l'ouvrage présente des culées hautes, h1 représente la hauteur totale (voûte + culée).</a:t>
          </a:r>
        </a:p>
      </xdr:txBody>
    </xdr:sp>
    <xdr:clientData/>
  </xdr:twoCellAnchor>
  <xdr:twoCellAnchor>
    <xdr:from>
      <xdr:col>4</xdr:col>
      <xdr:colOff>95250</xdr:colOff>
      <xdr:row>29</xdr:row>
      <xdr:rowOff>133350</xdr:rowOff>
    </xdr:from>
    <xdr:to>
      <xdr:col>4</xdr:col>
      <xdr:colOff>257175</xdr:colOff>
      <xdr:row>30</xdr:row>
      <xdr:rowOff>152400</xdr:rowOff>
    </xdr:to>
    <xdr:sp>
      <xdr:nvSpPr>
        <xdr:cNvPr id="21" name="AutoShape 45"/>
        <xdr:cNvSpPr>
          <a:spLocks/>
        </xdr:cNvSpPr>
      </xdr:nvSpPr>
      <xdr:spPr>
        <a:xfrm>
          <a:off x="2257425" y="5391150"/>
          <a:ext cx="161925"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29</xdr:row>
      <xdr:rowOff>133350</xdr:rowOff>
    </xdr:from>
    <xdr:to>
      <xdr:col>4</xdr:col>
      <xdr:colOff>180975</xdr:colOff>
      <xdr:row>30</xdr:row>
      <xdr:rowOff>142875</xdr:rowOff>
    </xdr:to>
    <xdr:sp>
      <xdr:nvSpPr>
        <xdr:cNvPr id="22" name="AutoShape 46"/>
        <xdr:cNvSpPr>
          <a:spLocks/>
        </xdr:cNvSpPr>
      </xdr:nvSpPr>
      <xdr:spPr>
        <a:xfrm flipH="1">
          <a:off x="2209800" y="5391150"/>
          <a:ext cx="13335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266700</xdr:colOff>
      <xdr:row>29</xdr:row>
      <xdr:rowOff>85725</xdr:rowOff>
    </xdr:from>
    <xdr:to>
      <xdr:col>4</xdr:col>
      <xdr:colOff>152400</xdr:colOff>
      <xdr:row>38</xdr:row>
      <xdr:rowOff>114300</xdr:rowOff>
    </xdr:to>
    <xdr:grpSp>
      <xdr:nvGrpSpPr>
        <xdr:cNvPr id="23" name="Group 91"/>
        <xdr:cNvGrpSpPr>
          <a:grpSpLocks/>
        </xdr:cNvGrpSpPr>
      </xdr:nvGrpSpPr>
      <xdr:grpSpPr>
        <a:xfrm>
          <a:off x="266700" y="5343525"/>
          <a:ext cx="2047875" cy="1485900"/>
          <a:chOff x="28" y="561"/>
          <a:chExt cx="215" cy="156"/>
        </a:xfrm>
        <a:solidFill>
          <a:srgbClr val="FFFFFF"/>
        </a:solidFill>
      </xdr:grpSpPr>
      <xdr:sp>
        <xdr:nvSpPr>
          <xdr:cNvPr id="24" name="AutoShape 25"/>
          <xdr:cNvSpPr>
            <a:spLocks/>
          </xdr:cNvSpPr>
        </xdr:nvSpPr>
        <xdr:spPr>
          <a:xfrm>
            <a:off x="28" y="589"/>
            <a:ext cx="141" cy="128"/>
          </a:xfrm>
          <a:custGeom>
            <a:pathLst>
              <a:path h="2910" w="4035">
                <a:moveTo>
                  <a:pt x="0" y="0"/>
                </a:moveTo>
                <a:lnTo>
                  <a:pt x="4035" y="0"/>
                </a:lnTo>
                <a:lnTo>
                  <a:pt x="4035" y="2910"/>
                </a:lnTo>
                <a:lnTo>
                  <a:pt x="1125" y="2910"/>
                </a:lnTo>
                <a:lnTo>
                  <a:pt x="0" y="0"/>
                </a:ln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26"/>
          <xdr:cNvSpPr>
            <a:spLocks/>
          </xdr:cNvSpPr>
        </xdr:nvSpPr>
        <xdr:spPr>
          <a:xfrm>
            <a:off x="169" y="603"/>
            <a:ext cx="73" cy="51"/>
          </a:xfrm>
          <a:custGeom>
            <a:pathLst>
              <a:path h="1375" w="2085">
                <a:moveTo>
                  <a:pt x="0" y="1375"/>
                </a:moveTo>
                <a:cubicBezTo>
                  <a:pt x="50" y="1262"/>
                  <a:pt x="163" y="882"/>
                  <a:pt x="300" y="700"/>
                </a:cubicBezTo>
                <a:cubicBezTo>
                  <a:pt x="437" y="518"/>
                  <a:pt x="570" y="390"/>
                  <a:pt x="825" y="280"/>
                </a:cubicBezTo>
                <a:cubicBezTo>
                  <a:pt x="1080" y="170"/>
                  <a:pt x="1620" y="80"/>
                  <a:pt x="1830" y="40"/>
                </a:cubicBezTo>
                <a:cubicBezTo>
                  <a:pt x="2040" y="0"/>
                  <a:pt x="2043" y="40"/>
                  <a:pt x="2085" y="40"/>
                </a:cubicBez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7"/>
          <xdr:cNvSpPr>
            <a:spLocks/>
          </xdr:cNvSpPr>
        </xdr:nvSpPr>
        <xdr:spPr>
          <a:xfrm flipV="1">
            <a:off x="170" y="589"/>
            <a:ext cx="7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8"/>
          <xdr:cNvSpPr>
            <a:spLocks/>
          </xdr:cNvSpPr>
        </xdr:nvSpPr>
        <xdr:spPr>
          <a:xfrm>
            <a:off x="242" y="561"/>
            <a:ext cx="0" cy="83"/>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104775</xdr:colOff>
      <xdr:row>39</xdr:row>
      <xdr:rowOff>114300</xdr:rowOff>
    </xdr:from>
    <xdr:to>
      <xdr:col>1</xdr:col>
      <xdr:colOff>104775</xdr:colOff>
      <xdr:row>40</xdr:row>
      <xdr:rowOff>142875</xdr:rowOff>
    </xdr:to>
    <xdr:sp>
      <xdr:nvSpPr>
        <xdr:cNvPr id="28" name="AutoShape 29"/>
        <xdr:cNvSpPr>
          <a:spLocks/>
        </xdr:cNvSpPr>
      </xdr:nvSpPr>
      <xdr:spPr>
        <a:xfrm flipH="1">
          <a:off x="638175" y="699135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39</xdr:row>
      <xdr:rowOff>95250</xdr:rowOff>
    </xdr:from>
    <xdr:to>
      <xdr:col>3</xdr:col>
      <xdr:colOff>9525</xdr:colOff>
      <xdr:row>40</xdr:row>
      <xdr:rowOff>123825</xdr:rowOff>
    </xdr:to>
    <xdr:sp>
      <xdr:nvSpPr>
        <xdr:cNvPr id="29" name="AutoShape 30"/>
        <xdr:cNvSpPr>
          <a:spLocks/>
        </xdr:cNvSpPr>
      </xdr:nvSpPr>
      <xdr:spPr>
        <a:xfrm flipH="1">
          <a:off x="1609725" y="697230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29</xdr:row>
      <xdr:rowOff>123825</xdr:rowOff>
    </xdr:from>
    <xdr:to>
      <xdr:col>3</xdr:col>
      <xdr:colOff>0</xdr:colOff>
      <xdr:row>31</xdr:row>
      <xdr:rowOff>0</xdr:rowOff>
    </xdr:to>
    <xdr:sp>
      <xdr:nvSpPr>
        <xdr:cNvPr id="30" name="AutoShape 31"/>
        <xdr:cNvSpPr>
          <a:spLocks/>
        </xdr:cNvSpPr>
      </xdr:nvSpPr>
      <xdr:spPr>
        <a:xfrm flipH="1">
          <a:off x="1600200" y="53816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29</xdr:row>
      <xdr:rowOff>133350</xdr:rowOff>
    </xdr:from>
    <xdr:to>
      <xdr:col>0</xdr:col>
      <xdr:colOff>257175</xdr:colOff>
      <xdr:row>31</xdr:row>
      <xdr:rowOff>0</xdr:rowOff>
    </xdr:to>
    <xdr:sp>
      <xdr:nvSpPr>
        <xdr:cNvPr id="31" name="AutoShape 32"/>
        <xdr:cNvSpPr>
          <a:spLocks/>
        </xdr:cNvSpPr>
      </xdr:nvSpPr>
      <xdr:spPr>
        <a:xfrm flipH="1">
          <a:off x="257175" y="539115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30</xdr:row>
      <xdr:rowOff>38100</xdr:rowOff>
    </xdr:from>
    <xdr:to>
      <xdr:col>3</xdr:col>
      <xdr:colOff>0</xdr:colOff>
      <xdr:row>30</xdr:row>
      <xdr:rowOff>38100</xdr:rowOff>
    </xdr:to>
    <xdr:sp>
      <xdr:nvSpPr>
        <xdr:cNvPr id="32" name="AutoShape 33"/>
        <xdr:cNvSpPr>
          <a:spLocks/>
        </xdr:cNvSpPr>
      </xdr:nvSpPr>
      <xdr:spPr>
        <a:xfrm>
          <a:off x="257175" y="5457825"/>
          <a:ext cx="1343025" cy="0"/>
        </a:xfrm>
        <a:prstGeom prst="line">
          <a:avLst/>
        </a:prstGeom>
        <a:noFill/>
        <a:ln w="9525" cmpd="sng">
          <a:solidFill>
            <a:srgbClr val="000000"/>
          </a:solidFill>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40</xdr:row>
      <xdr:rowOff>85725</xdr:rowOff>
    </xdr:from>
    <xdr:to>
      <xdr:col>3</xdr:col>
      <xdr:colOff>9525</xdr:colOff>
      <xdr:row>40</xdr:row>
      <xdr:rowOff>85725</xdr:rowOff>
    </xdr:to>
    <xdr:sp>
      <xdr:nvSpPr>
        <xdr:cNvPr id="33" name="AutoShape 34"/>
        <xdr:cNvSpPr>
          <a:spLocks/>
        </xdr:cNvSpPr>
      </xdr:nvSpPr>
      <xdr:spPr>
        <a:xfrm>
          <a:off x="628650" y="7124700"/>
          <a:ext cx="981075" cy="0"/>
        </a:xfrm>
        <a:prstGeom prst="line">
          <a:avLst/>
        </a:prstGeom>
        <a:noFill/>
        <a:ln w="9525" cmpd="sng">
          <a:solidFill>
            <a:srgbClr val="000000"/>
          </a:solidFill>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95250</xdr:colOff>
      <xdr:row>34</xdr:row>
      <xdr:rowOff>152400</xdr:rowOff>
    </xdr:from>
    <xdr:to>
      <xdr:col>3</xdr:col>
      <xdr:colOff>247650</xdr:colOff>
      <xdr:row>34</xdr:row>
      <xdr:rowOff>152400</xdr:rowOff>
    </xdr:to>
    <xdr:sp>
      <xdr:nvSpPr>
        <xdr:cNvPr id="34" name="AutoShape 35"/>
        <xdr:cNvSpPr>
          <a:spLocks/>
        </xdr:cNvSpPr>
      </xdr:nvSpPr>
      <xdr:spPr>
        <a:xfrm>
          <a:off x="1695450" y="6219825"/>
          <a:ext cx="15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95250</xdr:colOff>
      <xdr:row>38</xdr:row>
      <xdr:rowOff>104775</xdr:rowOff>
    </xdr:from>
    <xdr:to>
      <xdr:col>3</xdr:col>
      <xdr:colOff>466725</xdr:colOff>
      <xdr:row>38</xdr:row>
      <xdr:rowOff>104775</xdr:rowOff>
    </xdr:to>
    <xdr:sp>
      <xdr:nvSpPr>
        <xdr:cNvPr id="35" name="AutoShape 36"/>
        <xdr:cNvSpPr>
          <a:spLocks/>
        </xdr:cNvSpPr>
      </xdr:nvSpPr>
      <xdr:spPr>
        <a:xfrm>
          <a:off x="1695450" y="68199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190500</xdr:colOff>
      <xdr:row>31</xdr:row>
      <xdr:rowOff>19050</xdr:rowOff>
    </xdr:from>
    <xdr:to>
      <xdr:col>3</xdr:col>
      <xdr:colOff>190500</xdr:colOff>
      <xdr:row>34</xdr:row>
      <xdr:rowOff>152400</xdr:rowOff>
    </xdr:to>
    <xdr:sp>
      <xdr:nvSpPr>
        <xdr:cNvPr id="36" name="AutoShape 37"/>
        <xdr:cNvSpPr>
          <a:spLocks/>
        </xdr:cNvSpPr>
      </xdr:nvSpPr>
      <xdr:spPr>
        <a:xfrm>
          <a:off x="1790700" y="5600700"/>
          <a:ext cx="0" cy="619125"/>
        </a:xfrm>
        <a:prstGeom prst="line">
          <a:avLst/>
        </a:prstGeom>
        <a:noFill/>
        <a:ln w="9525" cmpd="sng">
          <a:solidFill>
            <a:srgbClr val="000000"/>
          </a:solidFill>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190500</xdr:colOff>
      <xdr:row>35</xdr:row>
      <xdr:rowOff>0</xdr:rowOff>
    </xdr:from>
    <xdr:to>
      <xdr:col>3</xdr:col>
      <xdr:colOff>190500</xdr:colOff>
      <xdr:row>38</xdr:row>
      <xdr:rowOff>104775</xdr:rowOff>
    </xdr:to>
    <xdr:sp>
      <xdr:nvSpPr>
        <xdr:cNvPr id="37" name="AutoShape 38"/>
        <xdr:cNvSpPr>
          <a:spLocks/>
        </xdr:cNvSpPr>
      </xdr:nvSpPr>
      <xdr:spPr>
        <a:xfrm>
          <a:off x="1790700" y="6229350"/>
          <a:ext cx="0" cy="590550"/>
        </a:xfrm>
        <a:prstGeom prst="line">
          <a:avLst/>
        </a:prstGeom>
        <a:noFill/>
        <a:ln w="9525" cmpd="sng">
          <a:solidFill>
            <a:srgbClr val="000000"/>
          </a:solidFill>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400050</xdr:colOff>
      <xdr:row>31</xdr:row>
      <xdr:rowOff>28575</xdr:rowOff>
    </xdr:from>
    <xdr:to>
      <xdr:col>3</xdr:col>
      <xdr:colOff>400050</xdr:colOff>
      <xdr:row>38</xdr:row>
      <xdr:rowOff>104775</xdr:rowOff>
    </xdr:to>
    <xdr:sp>
      <xdr:nvSpPr>
        <xdr:cNvPr id="38" name="AutoShape 39"/>
        <xdr:cNvSpPr>
          <a:spLocks/>
        </xdr:cNvSpPr>
      </xdr:nvSpPr>
      <xdr:spPr>
        <a:xfrm>
          <a:off x="2000250" y="5610225"/>
          <a:ext cx="0" cy="1209675"/>
        </a:xfrm>
        <a:prstGeom prst="line">
          <a:avLst/>
        </a:prstGeom>
        <a:noFill/>
        <a:ln w="9525" cmpd="sng">
          <a:solidFill>
            <a:srgbClr val="000000"/>
          </a:solidFill>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266700</xdr:colOff>
      <xdr:row>31</xdr:row>
      <xdr:rowOff>38100</xdr:rowOff>
    </xdr:from>
    <xdr:to>
      <xdr:col>2</xdr:col>
      <xdr:colOff>495300</xdr:colOff>
      <xdr:row>38</xdr:row>
      <xdr:rowOff>123825</xdr:rowOff>
    </xdr:to>
    <xdr:sp>
      <xdr:nvSpPr>
        <xdr:cNvPr id="39" name="AutoShape 49"/>
        <xdr:cNvSpPr>
          <a:spLocks/>
        </xdr:cNvSpPr>
      </xdr:nvSpPr>
      <xdr:spPr>
        <a:xfrm flipH="1">
          <a:off x="1257300" y="5619750"/>
          <a:ext cx="228600" cy="1219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31</xdr:row>
      <xdr:rowOff>28575</xdr:rowOff>
    </xdr:from>
    <xdr:to>
      <xdr:col>4</xdr:col>
      <xdr:colOff>161925</xdr:colOff>
      <xdr:row>38</xdr:row>
      <xdr:rowOff>114300</xdr:rowOff>
    </xdr:to>
    <xdr:sp>
      <xdr:nvSpPr>
        <xdr:cNvPr id="40" name="Polygon 50"/>
        <xdr:cNvSpPr>
          <a:spLocks/>
        </xdr:cNvSpPr>
      </xdr:nvSpPr>
      <xdr:spPr>
        <a:xfrm>
          <a:off x="257175" y="5610225"/>
          <a:ext cx="2066925" cy="1219200"/>
        </a:xfrm>
        <a:custGeom>
          <a:pathLst>
            <a:path h="194" w="410">
              <a:moveTo>
                <a:pt x="0" y="0"/>
              </a:moveTo>
              <a:lnTo>
                <a:pt x="410" y="0"/>
              </a:lnTo>
              <a:lnTo>
                <a:pt x="410" y="22"/>
              </a:lnTo>
              <a:lnTo>
                <a:pt x="399" y="22"/>
              </a:lnTo>
              <a:lnTo>
                <a:pt x="389" y="24"/>
              </a:lnTo>
              <a:lnTo>
                <a:pt x="378" y="25"/>
              </a:lnTo>
              <a:lnTo>
                <a:pt x="365" y="28"/>
              </a:lnTo>
              <a:lnTo>
                <a:pt x="348" y="31"/>
              </a:lnTo>
              <a:lnTo>
                <a:pt x="334" y="35"/>
              </a:lnTo>
              <a:lnTo>
                <a:pt x="324" y="37"/>
              </a:lnTo>
              <a:lnTo>
                <a:pt x="314" y="41"/>
              </a:lnTo>
              <a:lnTo>
                <a:pt x="306" y="46"/>
              </a:lnTo>
              <a:lnTo>
                <a:pt x="297" y="53"/>
              </a:lnTo>
              <a:lnTo>
                <a:pt x="291" y="59"/>
              </a:lnTo>
              <a:lnTo>
                <a:pt x="284" y="69"/>
              </a:lnTo>
              <a:lnTo>
                <a:pt x="278" y="78"/>
              </a:lnTo>
              <a:lnTo>
                <a:pt x="274" y="89"/>
              </a:lnTo>
              <a:lnTo>
                <a:pt x="269" y="102"/>
              </a:lnTo>
              <a:lnTo>
                <a:pt x="269" y="194"/>
              </a:lnTo>
              <a:lnTo>
                <a:pt x="75" y="194"/>
              </a:lnTo>
              <a:lnTo>
                <a:pt x="0" y="0"/>
              </a:lnTo>
              <a:close/>
            </a:path>
          </a:pathLst>
        </a:custGeom>
        <a:solidFill>
          <a:srgbClr val="FF99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31</xdr:row>
      <xdr:rowOff>85725</xdr:rowOff>
    </xdr:from>
    <xdr:to>
      <xdr:col>3</xdr:col>
      <xdr:colOff>390525</xdr:colOff>
      <xdr:row>33</xdr:row>
      <xdr:rowOff>66675</xdr:rowOff>
    </xdr:to>
    <xdr:sp>
      <xdr:nvSpPr>
        <xdr:cNvPr id="41" name="TextBox 71"/>
        <xdr:cNvSpPr txBox="1">
          <a:spLocks noChangeArrowheads="1"/>
        </xdr:cNvSpPr>
      </xdr:nvSpPr>
      <xdr:spPr>
        <a:xfrm>
          <a:off x="1628775" y="5667375"/>
          <a:ext cx="361950" cy="304800"/>
        </a:xfrm>
        <a:prstGeom prst="rect">
          <a:avLst/>
        </a:prstGeom>
        <a:noFill/>
        <a:ln w="9525" cmpd="sng">
          <a:noFill/>
        </a:ln>
      </xdr:spPr>
      <xdr:txBody>
        <a:bodyPr vertOverflow="clip" wrap="square"/>
        <a:p>
          <a:pPr algn="l">
            <a:defRPr/>
          </a:pPr>
          <a:r>
            <a:rPr lang="en-US" cap="none" sz="1200" b="0" i="0" u="none" baseline="0"/>
            <a:t>h1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95250</xdr:rowOff>
    </xdr:from>
    <xdr:to>
      <xdr:col>14</xdr:col>
      <xdr:colOff>390525</xdr:colOff>
      <xdr:row>12</xdr:row>
      <xdr:rowOff>57150</xdr:rowOff>
    </xdr:to>
    <xdr:sp>
      <xdr:nvSpPr>
        <xdr:cNvPr id="1" name="Texte 32"/>
        <xdr:cNvSpPr txBox="1">
          <a:spLocks noChangeArrowheads="1"/>
        </xdr:cNvSpPr>
      </xdr:nvSpPr>
      <xdr:spPr>
        <a:xfrm>
          <a:off x="152400" y="1381125"/>
          <a:ext cx="8410575" cy="7715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Les butées transversales sont réputées garantir contre le risque d'échappement transversal du tablier si les conditions suivantes sont réunies:
- elles sont présentes sur deux appuis au moins;
- de par leur répartition sur l'ouvrage, elles empêchent les mouvements de </a:t>
          </a:r>
          <a:r>
            <a:rPr lang="en-US" cap="none" sz="900" b="0" i="0" u="none" baseline="0">
              <a:solidFill>
                <a:srgbClr val="0000FF"/>
              </a:solidFill>
              <a:latin typeface="Arial"/>
              <a:ea typeface="Arial"/>
              <a:cs typeface="Arial"/>
            </a:rPr>
            <a:t>translation</a:t>
          </a:r>
          <a:r>
            <a:rPr lang="en-US" cap="none" sz="900" b="0" i="0" u="none" baseline="0">
              <a:latin typeface="Arial"/>
              <a:ea typeface="Arial"/>
              <a:cs typeface="Arial"/>
            </a:rPr>
            <a:t> latérale et de </a:t>
          </a:r>
          <a:r>
            <a:rPr lang="en-US" cap="none" sz="900" b="0" i="0" u="none" baseline="0">
              <a:solidFill>
                <a:srgbClr val="0000FF"/>
              </a:solidFill>
              <a:latin typeface="Arial"/>
              <a:ea typeface="Arial"/>
              <a:cs typeface="Arial"/>
            </a:rPr>
            <a:t>rotation</a:t>
          </a:r>
          <a:r>
            <a:rPr lang="en-US" cap="none" sz="900" b="0" i="0" u="none" baseline="0">
              <a:latin typeface="Arial"/>
              <a:ea typeface="Arial"/>
              <a:cs typeface="Arial"/>
            </a:rPr>
            <a:t> de </a:t>
          </a:r>
          <a:r>
            <a:rPr lang="en-US" cap="none" sz="900" b="0" i="0" u="none" baseline="0">
              <a:solidFill>
                <a:srgbClr val="0000FF"/>
              </a:solidFill>
              <a:latin typeface="Arial"/>
              <a:ea typeface="Arial"/>
              <a:cs typeface="Arial"/>
            </a:rPr>
            <a:t>tous</a:t>
          </a:r>
          <a:r>
            <a:rPr lang="en-US" cap="none" sz="900" b="0" i="0" u="none" baseline="0">
              <a:latin typeface="Arial"/>
              <a:ea typeface="Arial"/>
              <a:cs typeface="Arial"/>
            </a:rPr>
            <a:t> </a:t>
          </a:r>
          <a:r>
            <a:rPr lang="en-US" cap="none" sz="900" b="0" i="0" u="none" baseline="0">
              <a:solidFill>
                <a:srgbClr val="0000FF"/>
              </a:solidFill>
              <a:latin typeface="Arial"/>
              <a:ea typeface="Arial"/>
              <a:cs typeface="Arial"/>
            </a:rPr>
            <a:t>les</a:t>
          </a:r>
          <a:r>
            <a:rPr lang="en-US" cap="none" sz="900" b="0" i="0" u="none" baseline="0">
              <a:latin typeface="Arial"/>
              <a:ea typeface="Arial"/>
              <a:cs typeface="Arial"/>
            </a:rPr>
            <a:t> </a:t>
          </a:r>
          <a:r>
            <a:rPr lang="en-US" cap="none" sz="900" b="0" i="0" u="none" baseline="0">
              <a:solidFill>
                <a:srgbClr val="0000FF"/>
              </a:solidFill>
              <a:latin typeface="Arial"/>
              <a:ea typeface="Arial"/>
              <a:cs typeface="Arial"/>
            </a:rPr>
            <a:t>tronçons</a:t>
          </a:r>
          <a:r>
            <a:rPr lang="en-US" cap="none" sz="900" b="0" i="0" u="none" baseline="0">
              <a:latin typeface="Arial"/>
              <a:ea typeface="Arial"/>
              <a:cs typeface="Arial"/>
            </a:rPr>
            <a:t> continus du tablier.
Si pour un tronçon au moins du tablier, les conditions ci-dessus ne sont pas vérifiées, le risque d'échappement transversal existe.</a:t>
          </a:r>
        </a:p>
      </xdr:txBody>
    </xdr:sp>
    <xdr:clientData/>
  </xdr:twoCellAnchor>
  <xdr:twoCellAnchor>
    <xdr:from>
      <xdr:col>0</xdr:col>
      <xdr:colOff>457200</xdr:colOff>
      <xdr:row>19</xdr:row>
      <xdr:rowOff>133350</xdr:rowOff>
    </xdr:from>
    <xdr:to>
      <xdr:col>13</xdr:col>
      <xdr:colOff>571500</xdr:colOff>
      <xdr:row>38</xdr:row>
      <xdr:rowOff>85725</xdr:rowOff>
    </xdr:to>
    <xdr:grpSp>
      <xdr:nvGrpSpPr>
        <xdr:cNvPr id="2" name="Group 431"/>
        <xdr:cNvGrpSpPr>
          <a:grpSpLocks/>
        </xdr:cNvGrpSpPr>
      </xdr:nvGrpSpPr>
      <xdr:grpSpPr>
        <a:xfrm>
          <a:off x="457200" y="3362325"/>
          <a:ext cx="7705725" cy="3028950"/>
          <a:chOff x="48" y="353"/>
          <a:chExt cx="809" cy="318"/>
        </a:xfrm>
        <a:solidFill>
          <a:srgbClr val="FFFFFF"/>
        </a:solidFill>
      </xdr:grpSpPr>
      <xdr:grpSp>
        <xdr:nvGrpSpPr>
          <xdr:cNvPr id="3" name="Group 429"/>
          <xdr:cNvGrpSpPr>
            <a:grpSpLocks/>
          </xdr:cNvGrpSpPr>
        </xdr:nvGrpSpPr>
        <xdr:grpSpPr>
          <a:xfrm>
            <a:off x="48" y="353"/>
            <a:ext cx="455" cy="318"/>
            <a:chOff x="48" y="353"/>
            <a:chExt cx="455" cy="318"/>
          </a:xfrm>
          <a:solidFill>
            <a:srgbClr val="FFFFFF"/>
          </a:solidFill>
        </xdr:grpSpPr>
        <xdr:sp>
          <xdr:nvSpPr>
            <xdr:cNvPr id="4" name="TextBox 3"/>
            <xdr:cNvSpPr txBox="1">
              <a:spLocks noChangeArrowheads="1"/>
            </xdr:cNvSpPr>
          </xdr:nvSpPr>
          <xdr:spPr>
            <a:xfrm>
              <a:off x="48" y="374"/>
              <a:ext cx="152" cy="51"/>
            </a:xfrm>
            <a:prstGeom prst="rect">
              <a:avLst/>
            </a:prstGeom>
            <a:no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type 1</a:t>
              </a:r>
              <a:r>
                <a:rPr lang="en-US" cap="none" sz="800" b="1" i="0" u="none" baseline="0">
                  <a:latin typeface="Arial"/>
                  <a:ea typeface="Arial"/>
                  <a:cs typeface="Arial"/>
                </a:rPr>
                <a:t>: </a:t>
              </a:r>
              <a:r>
                <a:rPr lang="en-US" cap="none" sz="800" b="0" i="0" u="none" baseline="0">
                  <a:latin typeface="Arial"/>
                  <a:ea typeface="Arial"/>
                  <a:cs typeface="Arial"/>
                </a:rPr>
                <a:t>continuité du tablier </a:t>
              </a:r>
              <a:r>
                <a:rPr lang="en-US" cap="none" sz="800" b="0" i="0" u="sng" baseline="0">
                  <a:latin typeface="Arial"/>
                  <a:ea typeface="Arial"/>
                  <a:cs typeface="Arial"/>
                </a:rPr>
                <a:t>sans</a:t>
              </a:r>
              <a:r>
                <a:rPr lang="en-US" cap="none" sz="800" b="0" i="0" u="none" baseline="0">
                  <a:latin typeface="Arial"/>
                  <a:ea typeface="Arial"/>
                  <a:cs typeface="Arial"/>
                </a:rPr>
                <a:t> risque d'échappement longitudinal.</a:t>
              </a:r>
              <a:r>
                <a:rPr lang="en-US" cap="none" sz="800" b="1" i="0" u="none" baseline="0">
                  <a:latin typeface="Arial"/>
                  <a:ea typeface="Arial"/>
                  <a:cs typeface="Arial"/>
                </a:rPr>
                <a:t>
</a:t>
              </a:r>
            </a:p>
          </xdr:txBody>
        </xdr:sp>
        <xdr:sp>
          <xdr:nvSpPr>
            <xdr:cNvPr id="5" name="TextBox 4"/>
            <xdr:cNvSpPr txBox="1">
              <a:spLocks noChangeArrowheads="1"/>
            </xdr:cNvSpPr>
          </xdr:nvSpPr>
          <xdr:spPr>
            <a:xfrm>
              <a:off x="48" y="353"/>
              <a:ext cx="455" cy="21"/>
            </a:xfrm>
            <a:prstGeom prst="rect">
              <a:avLst/>
            </a:prstGeom>
            <a:noFill/>
            <a:ln w="9525" cmpd="sng">
              <a:solidFill>
                <a:srgbClr val="000000"/>
              </a:solidFill>
              <a:headEnd type="none"/>
              <a:tailEnd type="none"/>
            </a:ln>
          </xdr:spPr>
          <xdr:txBody>
            <a:bodyPr vertOverflow="clip" wrap="square"/>
            <a:p>
              <a:pPr algn="ctr">
                <a:defRPr/>
              </a:pPr>
              <a:r>
                <a:rPr lang="en-US" cap="none" sz="1000" b="1" i="1" u="none" baseline="0">
                  <a:latin typeface="Arial"/>
                  <a:ea typeface="Arial"/>
                  <a:cs typeface="Arial"/>
                </a:rPr>
                <a:t>Echappement longitudinal</a:t>
              </a:r>
            </a:p>
          </xdr:txBody>
        </xdr:sp>
        <xdr:sp>
          <xdr:nvSpPr>
            <xdr:cNvPr id="6" name="TextBox 5"/>
            <xdr:cNvSpPr txBox="1">
              <a:spLocks noChangeArrowheads="1"/>
            </xdr:cNvSpPr>
          </xdr:nvSpPr>
          <xdr:spPr>
            <a:xfrm>
              <a:off x="200" y="374"/>
              <a:ext cx="151" cy="51"/>
            </a:xfrm>
            <a:prstGeom prst="rect">
              <a:avLst/>
            </a:prstGeom>
            <a:no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type 2</a:t>
              </a:r>
              <a:r>
                <a:rPr lang="en-US" cap="none" sz="800" b="1" i="0" u="none" baseline="0">
                  <a:latin typeface="Arial"/>
                  <a:ea typeface="Arial"/>
                  <a:cs typeface="Arial"/>
                </a:rPr>
                <a:t>: </a:t>
              </a:r>
              <a:r>
                <a:rPr lang="en-US" cap="none" sz="800" b="0" i="0" u="none" baseline="0">
                  <a:latin typeface="Arial"/>
                  <a:ea typeface="Arial"/>
                  <a:cs typeface="Arial"/>
                </a:rPr>
                <a:t>continuité du tablier </a:t>
              </a:r>
              <a:r>
                <a:rPr lang="en-US" cap="none" sz="800" b="0" i="0" u="sng" baseline="0">
                  <a:latin typeface="Arial"/>
                  <a:ea typeface="Arial"/>
                  <a:cs typeface="Arial"/>
                </a:rPr>
                <a:t>avec</a:t>
              </a:r>
              <a:r>
                <a:rPr lang="en-US" cap="none" sz="800" b="0" i="0" u="none" baseline="0">
                  <a:latin typeface="Arial"/>
                  <a:ea typeface="Arial"/>
                  <a:cs typeface="Arial"/>
                </a:rPr>
                <a:t> risque d'échappement longitudinal.</a:t>
              </a:r>
              <a:r>
                <a:rPr lang="en-US" cap="none" sz="800" b="1" i="0" u="none" baseline="0">
                  <a:latin typeface="Arial"/>
                  <a:ea typeface="Arial"/>
                  <a:cs typeface="Arial"/>
                </a:rPr>
                <a:t>
</a:t>
              </a:r>
            </a:p>
          </xdr:txBody>
        </xdr:sp>
        <xdr:sp>
          <xdr:nvSpPr>
            <xdr:cNvPr id="7" name="TextBox 6"/>
            <xdr:cNvSpPr txBox="1">
              <a:spLocks noChangeArrowheads="1"/>
            </xdr:cNvSpPr>
          </xdr:nvSpPr>
          <xdr:spPr>
            <a:xfrm>
              <a:off x="351" y="374"/>
              <a:ext cx="152" cy="51"/>
            </a:xfrm>
            <a:prstGeom prst="rect">
              <a:avLst/>
            </a:prstGeom>
            <a:no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type 3</a:t>
              </a:r>
              <a:r>
                <a:rPr lang="en-US" cap="none" sz="800" b="1" i="0" u="none" baseline="0">
                  <a:latin typeface="Arial"/>
                  <a:ea typeface="Arial"/>
                  <a:cs typeface="Arial"/>
                </a:rPr>
                <a:t>: </a:t>
              </a:r>
              <a:r>
                <a:rPr lang="en-US" cap="none" sz="800" b="0" i="0" u="none" baseline="0">
                  <a:latin typeface="Arial"/>
                  <a:ea typeface="Arial"/>
                  <a:cs typeface="Arial"/>
                </a:rPr>
                <a:t>non-continuité du tablier.</a:t>
              </a:r>
              <a:r>
                <a:rPr lang="en-US" cap="none" sz="800" b="1" i="0" u="none" baseline="0">
                  <a:latin typeface="Arial"/>
                  <a:ea typeface="Arial"/>
                  <a:cs typeface="Arial"/>
                </a:rPr>
                <a:t>
</a:t>
              </a:r>
            </a:p>
          </xdr:txBody>
        </xdr:sp>
        <xdr:grpSp>
          <xdr:nvGrpSpPr>
            <xdr:cNvPr id="8" name="Group 18"/>
            <xdr:cNvGrpSpPr>
              <a:grpSpLocks/>
            </xdr:cNvGrpSpPr>
          </xdr:nvGrpSpPr>
          <xdr:grpSpPr>
            <a:xfrm>
              <a:off x="48" y="425"/>
              <a:ext cx="152" cy="246"/>
              <a:chOff x="183" y="353"/>
              <a:chExt cx="151" cy="246"/>
            </a:xfrm>
            <a:solidFill>
              <a:srgbClr val="FFFFFF"/>
            </a:solidFill>
          </xdr:grpSpPr>
          <xdr:sp>
            <xdr:nvSpPr>
              <xdr:cNvPr id="9" name="TextBox 9"/>
              <xdr:cNvSpPr txBox="1">
                <a:spLocks noChangeArrowheads="1"/>
              </xdr:cNvSpPr>
            </xdr:nvSpPr>
            <xdr:spPr>
              <a:xfrm>
                <a:off x="183" y="353"/>
                <a:ext cx="151" cy="246"/>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ou encastrement
</a:t>
                </a:r>
              </a:p>
            </xdr:txBody>
          </xdr:sp>
          <xdr:grpSp>
            <xdr:nvGrpSpPr>
              <xdr:cNvPr id="10" name="Group 13"/>
              <xdr:cNvGrpSpPr>
                <a:grpSpLocks/>
              </xdr:cNvGrpSpPr>
            </xdr:nvGrpSpPr>
            <xdr:grpSpPr>
              <a:xfrm>
                <a:off x="199" y="370"/>
                <a:ext cx="123" cy="39"/>
                <a:chOff x="253" y="70"/>
                <a:chExt cx="252" cy="78"/>
              </a:xfrm>
              <a:solidFill>
                <a:srgbClr val="FFFFFF"/>
              </a:solidFill>
            </xdr:grpSpPr>
            <xdr:sp>
              <xdr:nvSpPr>
                <xdr:cNvPr id="11" name="Rectangle 14"/>
                <xdr:cNvSpPr>
                  <a:spLocks/>
                </xdr:cNvSpPr>
              </xdr:nvSpPr>
              <xdr:spPr>
                <a:xfrm>
                  <a:off x="364" y="106"/>
                  <a:ext cx="26" cy="8"/>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Dessin 317"/>
                <xdr:cNvSpPr>
                  <a:spLocks/>
                </xdr:cNvSpPr>
              </xdr:nvSpPr>
              <xdr:spPr>
                <a:xfrm>
                  <a:off x="253" y="70"/>
                  <a:ext cx="252" cy="35"/>
                </a:xfrm>
                <a:custGeom>
                  <a:pathLst>
                    <a:path h="35" w="252">
                      <a:moveTo>
                        <a:pt x="5" y="0"/>
                      </a:moveTo>
                      <a:lnTo>
                        <a:pt x="250" y="0"/>
                      </a:lnTo>
                      <a:lnTo>
                        <a:pt x="252" y="14"/>
                      </a:lnTo>
                      <a:lnTo>
                        <a:pt x="242" y="23"/>
                      </a:lnTo>
                      <a:lnTo>
                        <a:pt x="245" y="35"/>
                      </a:lnTo>
                      <a:lnTo>
                        <a:pt x="5" y="35"/>
                      </a:lnTo>
                      <a:lnTo>
                        <a:pt x="10" y="26"/>
                      </a:lnTo>
                      <a:lnTo>
                        <a:pt x="7" y="18"/>
                      </a:lnTo>
                      <a:lnTo>
                        <a:pt x="0" y="13"/>
                      </a:lnTo>
                      <a:lnTo>
                        <a:pt x="6" y="11"/>
                      </a:lnTo>
                      <a:lnTo>
                        <a:pt x="5"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Dessin 315"/>
                <xdr:cNvSpPr>
                  <a:spLocks/>
                </xdr:cNvSpPr>
              </xdr:nvSpPr>
              <xdr:spPr>
                <a:xfrm>
                  <a:off x="357" y="114"/>
                  <a:ext cx="41" cy="34"/>
                </a:xfrm>
                <a:custGeom>
                  <a:pathLst>
                    <a:path h="16384" w="16384">
                      <a:moveTo>
                        <a:pt x="0" y="862"/>
                      </a:moveTo>
                      <a:lnTo>
                        <a:pt x="0" y="0"/>
                      </a:lnTo>
                      <a:lnTo>
                        <a:pt x="16384" y="0"/>
                      </a:lnTo>
                      <a:lnTo>
                        <a:pt x="16384" y="16384"/>
                      </a:lnTo>
                      <a:lnTo>
                        <a:pt x="14247" y="16384"/>
                      </a:lnTo>
                      <a:lnTo>
                        <a:pt x="11754" y="15091"/>
                      </a:lnTo>
                      <a:lnTo>
                        <a:pt x="9617" y="15522"/>
                      </a:lnTo>
                      <a:lnTo>
                        <a:pt x="7480" y="14659"/>
                      </a:lnTo>
                      <a:lnTo>
                        <a:pt x="4274" y="15522"/>
                      </a:lnTo>
                      <a:lnTo>
                        <a:pt x="2849" y="14659"/>
                      </a:lnTo>
                      <a:lnTo>
                        <a:pt x="0" y="14228"/>
                      </a:lnTo>
                      <a:lnTo>
                        <a:pt x="0" y="862"/>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nvGrpSpPr>
            <xdr:cNvPr id="14" name="Group 153"/>
            <xdr:cNvGrpSpPr>
              <a:grpSpLocks/>
            </xdr:cNvGrpSpPr>
          </xdr:nvGrpSpPr>
          <xdr:grpSpPr>
            <a:xfrm>
              <a:off x="200" y="425"/>
              <a:ext cx="151" cy="246"/>
              <a:chOff x="189" y="341"/>
              <a:chExt cx="151" cy="246"/>
            </a:xfrm>
            <a:solidFill>
              <a:srgbClr val="FFFFFF"/>
            </a:solidFill>
          </xdr:grpSpPr>
          <xdr:sp>
            <xdr:nvSpPr>
              <xdr:cNvPr id="15" name="TextBox 20"/>
              <xdr:cNvSpPr txBox="1">
                <a:spLocks noChangeArrowheads="1"/>
              </xdr:cNvSpPr>
            </xdr:nvSpPr>
            <xdr:spPr>
              <a:xfrm>
                <a:off x="189" y="341"/>
                <a:ext cx="151" cy="246"/>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NdeL = Min (NdeL1;NdeL2)
</a:t>
                </a:r>
              </a:p>
            </xdr:txBody>
          </xdr:sp>
          <xdr:grpSp>
            <xdr:nvGrpSpPr>
              <xdr:cNvPr id="16" name="Group 46"/>
              <xdr:cNvGrpSpPr>
                <a:grpSpLocks/>
              </xdr:cNvGrpSpPr>
            </xdr:nvGrpSpPr>
            <xdr:grpSpPr>
              <a:xfrm>
                <a:off x="203" y="358"/>
                <a:ext cx="118" cy="79"/>
                <a:chOff x="428" y="233"/>
                <a:chExt cx="131" cy="76"/>
              </a:xfrm>
              <a:solidFill>
                <a:srgbClr val="FFFFFF"/>
              </a:solidFill>
            </xdr:grpSpPr>
            <xdr:sp>
              <xdr:nvSpPr>
                <xdr:cNvPr id="17" name="Dessin 283"/>
                <xdr:cNvSpPr>
                  <a:spLocks/>
                </xdr:cNvSpPr>
              </xdr:nvSpPr>
              <xdr:spPr>
                <a:xfrm>
                  <a:off x="463" y="268"/>
                  <a:ext cx="18" cy="7"/>
                </a:xfrm>
                <a:custGeom>
                  <a:pathLst>
                    <a:path h="16384" w="16384">
                      <a:moveTo>
                        <a:pt x="0" y="0"/>
                      </a:moveTo>
                      <a:lnTo>
                        <a:pt x="0" y="16384"/>
                      </a:lnTo>
                      <a:lnTo>
                        <a:pt x="16384" y="16384"/>
                      </a:lnTo>
                      <a:lnTo>
                        <a:pt x="16384" y="0"/>
                      </a:lnTo>
                      <a:lnTo>
                        <a:pt x="0" y="0"/>
                      </a:lnTo>
                      <a:close/>
                    </a:path>
                  </a:pathLst>
                </a:custGeom>
                <a:solidFill>
                  <a:srgbClr val="0000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Dessin 315"/>
                <xdr:cNvSpPr>
                  <a:spLocks/>
                </xdr:cNvSpPr>
              </xdr:nvSpPr>
              <xdr:spPr>
                <a:xfrm>
                  <a:off x="442" y="275"/>
                  <a:ext cx="102" cy="34"/>
                </a:xfrm>
                <a:custGeom>
                  <a:pathLst>
                    <a:path h="16384" w="16384">
                      <a:moveTo>
                        <a:pt x="0" y="862"/>
                      </a:moveTo>
                      <a:lnTo>
                        <a:pt x="0" y="0"/>
                      </a:lnTo>
                      <a:lnTo>
                        <a:pt x="16384" y="0"/>
                      </a:lnTo>
                      <a:lnTo>
                        <a:pt x="16384" y="16384"/>
                      </a:lnTo>
                      <a:lnTo>
                        <a:pt x="14247" y="16384"/>
                      </a:lnTo>
                      <a:lnTo>
                        <a:pt x="11754" y="15091"/>
                      </a:lnTo>
                      <a:lnTo>
                        <a:pt x="9617" y="15522"/>
                      </a:lnTo>
                      <a:lnTo>
                        <a:pt x="7480" y="14659"/>
                      </a:lnTo>
                      <a:lnTo>
                        <a:pt x="4274" y="15522"/>
                      </a:lnTo>
                      <a:lnTo>
                        <a:pt x="2849" y="14659"/>
                      </a:lnTo>
                      <a:lnTo>
                        <a:pt x="0" y="14228"/>
                      </a:lnTo>
                      <a:lnTo>
                        <a:pt x="0" y="862"/>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Dessin 317"/>
                <xdr:cNvSpPr>
                  <a:spLocks/>
                </xdr:cNvSpPr>
              </xdr:nvSpPr>
              <xdr:spPr>
                <a:xfrm>
                  <a:off x="428" y="233"/>
                  <a:ext cx="62" cy="35"/>
                </a:xfrm>
                <a:custGeom>
                  <a:pathLst>
                    <a:path h="16384" w="16384">
                      <a:moveTo>
                        <a:pt x="1260" y="0"/>
                      </a:moveTo>
                      <a:lnTo>
                        <a:pt x="16384" y="0"/>
                      </a:lnTo>
                      <a:lnTo>
                        <a:pt x="16384" y="16384"/>
                      </a:lnTo>
                      <a:lnTo>
                        <a:pt x="1260" y="16384"/>
                      </a:lnTo>
                      <a:lnTo>
                        <a:pt x="1260" y="14704"/>
                      </a:lnTo>
                      <a:lnTo>
                        <a:pt x="2521" y="12183"/>
                      </a:lnTo>
                      <a:lnTo>
                        <a:pt x="1260" y="10082"/>
                      </a:lnTo>
                      <a:lnTo>
                        <a:pt x="1890" y="8402"/>
                      </a:lnTo>
                      <a:lnTo>
                        <a:pt x="0" y="6302"/>
                      </a:lnTo>
                      <a:lnTo>
                        <a:pt x="1575" y="5041"/>
                      </a:lnTo>
                      <a:lnTo>
                        <a:pt x="630" y="2941"/>
                      </a:lnTo>
                      <a:lnTo>
                        <a:pt x="1260"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Dessin 318"/>
                <xdr:cNvSpPr>
                  <a:spLocks/>
                </xdr:cNvSpPr>
              </xdr:nvSpPr>
              <xdr:spPr>
                <a:xfrm flipH="1">
                  <a:off x="496" y="233"/>
                  <a:ext cx="63" cy="35"/>
                </a:xfrm>
                <a:custGeom>
                  <a:pathLst>
                    <a:path h="16384" w="16384">
                      <a:moveTo>
                        <a:pt x="1260" y="0"/>
                      </a:moveTo>
                      <a:lnTo>
                        <a:pt x="16384" y="0"/>
                      </a:lnTo>
                      <a:lnTo>
                        <a:pt x="16384" y="16384"/>
                      </a:lnTo>
                      <a:lnTo>
                        <a:pt x="1260" y="16384"/>
                      </a:lnTo>
                      <a:lnTo>
                        <a:pt x="1260" y="14704"/>
                      </a:lnTo>
                      <a:lnTo>
                        <a:pt x="2521" y="12183"/>
                      </a:lnTo>
                      <a:lnTo>
                        <a:pt x="1260" y="10082"/>
                      </a:lnTo>
                      <a:lnTo>
                        <a:pt x="1890" y="8402"/>
                      </a:lnTo>
                      <a:lnTo>
                        <a:pt x="0" y="6302"/>
                      </a:lnTo>
                      <a:lnTo>
                        <a:pt x="1575" y="5041"/>
                      </a:lnTo>
                      <a:lnTo>
                        <a:pt x="630" y="2941"/>
                      </a:lnTo>
                      <a:lnTo>
                        <a:pt x="1260"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51"/>
                <xdr:cNvSpPr>
                  <a:spLocks/>
                </xdr:cNvSpPr>
              </xdr:nvSpPr>
              <xdr:spPr>
                <a:xfrm>
                  <a:off x="480" y="233"/>
                  <a:ext cx="29" cy="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Dessin 321"/>
                <xdr:cNvSpPr>
                  <a:spLocks/>
                </xdr:cNvSpPr>
              </xdr:nvSpPr>
              <xdr:spPr>
                <a:xfrm>
                  <a:off x="505" y="268"/>
                  <a:ext cx="16" cy="7"/>
                </a:xfrm>
                <a:custGeom>
                  <a:pathLst>
                    <a:path h="16384" w="16384">
                      <a:moveTo>
                        <a:pt x="0" y="0"/>
                      </a:moveTo>
                      <a:lnTo>
                        <a:pt x="0" y="16384"/>
                      </a:lnTo>
                      <a:lnTo>
                        <a:pt x="16384" y="16384"/>
                      </a:lnTo>
                      <a:lnTo>
                        <a:pt x="16384" y="0"/>
                      </a:lnTo>
                      <a:lnTo>
                        <a:pt x="0" y="0"/>
                      </a:lnTo>
                      <a:close/>
                    </a:path>
                  </a:pathLst>
                </a:custGeom>
                <a:solidFill>
                  <a:srgbClr val="0000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Dessin 272"/>
                <xdr:cNvSpPr>
                  <a:spLocks/>
                </xdr:cNvSpPr>
              </xdr:nvSpPr>
              <xdr:spPr>
                <a:xfrm>
                  <a:off x="442" y="287"/>
                  <a:ext cx="0" cy="17"/>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Dessin 273"/>
                <xdr:cNvSpPr>
                  <a:spLocks/>
                </xdr:cNvSpPr>
              </xdr:nvSpPr>
              <xdr:spPr>
                <a:xfrm>
                  <a:off x="490" y="287"/>
                  <a:ext cx="0" cy="18"/>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Dessin 275"/>
                <xdr:cNvSpPr>
                  <a:spLocks/>
                </xdr:cNvSpPr>
              </xdr:nvSpPr>
              <xdr:spPr>
                <a:xfrm>
                  <a:off x="486" y="296"/>
                  <a:ext cx="3" cy="4"/>
                </a:xfrm>
                <a:custGeom>
                  <a:pathLst>
                    <a:path h="16384" w="16384">
                      <a:moveTo>
                        <a:pt x="0" y="0"/>
                      </a:moveTo>
                      <a:lnTo>
                        <a:pt x="0" y="16384"/>
                      </a:lnTo>
                      <a:lnTo>
                        <a:pt x="16384" y="8192"/>
                      </a:lnTo>
                      <a:lnTo>
                        <a:pt x="0" y="0"/>
                      </a:lnTo>
                      <a:close/>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Dessin 276"/>
                <xdr:cNvSpPr>
                  <a:spLocks/>
                </xdr:cNvSpPr>
              </xdr:nvSpPr>
              <xdr:spPr>
                <a:xfrm>
                  <a:off x="442" y="296"/>
                  <a:ext cx="4" cy="4"/>
                </a:xfrm>
                <a:custGeom>
                  <a:pathLst>
                    <a:path h="16384" w="16384">
                      <a:moveTo>
                        <a:pt x="16384" y="16384"/>
                      </a:moveTo>
                      <a:lnTo>
                        <a:pt x="16384" y="0"/>
                      </a:lnTo>
                      <a:lnTo>
                        <a:pt x="0" y="8192"/>
                      </a:lnTo>
                      <a:lnTo>
                        <a:pt x="16384" y="16384"/>
                      </a:lnTo>
                      <a:close/>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Dessin 277"/>
                <xdr:cNvSpPr>
                  <a:spLocks/>
                </xdr:cNvSpPr>
              </xdr:nvSpPr>
              <xdr:spPr>
                <a:xfrm>
                  <a:off x="450" y="286"/>
                  <a:ext cx="31" cy="15"/>
                </a:xfrm>
                <a:custGeom>
                  <a:pathLst>
                    <a:path h="16384" w="16384">
                      <a:moveTo>
                        <a:pt x="0" y="0"/>
                      </a:moveTo>
                      <a:lnTo>
                        <a:pt x="0" y="16384"/>
                      </a:lnTo>
                      <a:lnTo>
                        <a:pt x="16384" y="16384"/>
                      </a:lnTo>
                      <a:lnTo>
                        <a:pt x="16384" y="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 name="Texte 331"/>
                <xdr:cNvSpPr txBox="1">
                  <a:spLocks noChangeArrowheads="1"/>
                </xdr:cNvSpPr>
              </xdr:nvSpPr>
              <xdr:spPr>
                <a:xfrm>
                  <a:off x="443" y="283"/>
                  <a:ext cx="48" cy="18"/>
                </a:xfrm>
                <a:prstGeom prst="rect">
                  <a:avLst/>
                </a:prstGeom>
                <a:noFill/>
                <a:ln w="9525" cmpd="sng">
                  <a:noFill/>
                </a:ln>
              </xdr:spPr>
              <xdr:txBody>
                <a:bodyPr vertOverflow="clip" wrap="square"/>
                <a:p>
                  <a:pPr algn="ctr">
                    <a:defRPr/>
                  </a:pPr>
                  <a:r>
                    <a:rPr lang="en-US" cap="none" sz="700" b="0" i="0" u="none" baseline="0"/>
                    <a:t>NdeL1</a:t>
                  </a:r>
                </a:p>
              </xdr:txBody>
            </xdr:sp>
            <xdr:sp>
              <xdr:nvSpPr>
                <xdr:cNvPr id="29" name="Dessin 334"/>
                <xdr:cNvSpPr>
                  <a:spLocks/>
                </xdr:cNvSpPr>
              </xdr:nvSpPr>
              <xdr:spPr>
                <a:xfrm>
                  <a:off x="496" y="287"/>
                  <a:ext cx="0" cy="17"/>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Dessin 335"/>
                <xdr:cNvSpPr>
                  <a:spLocks/>
                </xdr:cNvSpPr>
              </xdr:nvSpPr>
              <xdr:spPr>
                <a:xfrm>
                  <a:off x="544" y="287"/>
                  <a:ext cx="0" cy="18"/>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Dessin 337"/>
                <xdr:cNvSpPr>
                  <a:spLocks/>
                </xdr:cNvSpPr>
              </xdr:nvSpPr>
              <xdr:spPr>
                <a:xfrm>
                  <a:off x="541" y="295"/>
                  <a:ext cx="2" cy="5"/>
                </a:xfrm>
                <a:custGeom>
                  <a:pathLst>
                    <a:path h="16384" w="16384">
                      <a:moveTo>
                        <a:pt x="0" y="0"/>
                      </a:moveTo>
                      <a:lnTo>
                        <a:pt x="0" y="16384"/>
                      </a:lnTo>
                      <a:lnTo>
                        <a:pt x="16384" y="8192"/>
                      </a:lnTo>
                      <a:lnTo>
                        <a:pt x="0" y="0"/>
                      </a:lnTo>
                      <a:close/>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Dessin 338"/>
                <xdr:cNvSpPr>
                  <a:spLocks/>
                </xdr:cNvSpPr>
              </xdr:nvSpPr>
              <xdr:spPr>
                <a:xfrm>
                  <a:off x="496" y="295"/>
                  <a:ext cx="3" cy="5"/>
                </a:xfrm>
                <a:custGeom>
                  <a:pathLst>
                    <a:path h="16384" w="16384">
                      <a:moveTo>
                        <a:pt x="16384" y="16384"/>
                      </a:moveTo>
                      <a:lnTo>
                        <a:pt x="16384" y="0"/>
                      </a:lnTo>
                      <a:lnTo>
                        <a:pt x="0" y="8192"/>
                      </a:lnTo>
                      <a:lnTo>
                        <a:pt x="16384" y="16384"/>
                      </a:lnTo>
                      <a:close/>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Dessin 339"/>
                <xdr:cNvSpPr>
                  <a:spLocks/>
                </xdr:cNvSpPr>
              </xdr:nvSpPr>
              <xdr:spPr>
                <a:xfrm>
                  <a:off x="513" y="286"/>
                  <a:ext cx="30" cy="15"/>
                </a:xfrm>
                <a:custGeom>
                  <a:pathLst>
                    <a:path h="16384" w="16384">
                      <a:moveTo>
                        <a:pt x="0" y="0"/>
                      </a:moveTo>
                      <a:lnTo>
                        <a:pt x="0" y="16384"/>
                      </a:lnTo>
                      <a:lnTo>
                        <a:pt x="16384" y="16384"/>
                      </a:lnTo>
                      <a:lnTo>
                        <a:pt x="16384" y="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4" name="Texte 340"/>
                <xdr:cNvSpPr txBox="1">
                  <a:spLocks noChangeArrowheads="1"/>
                </xdr:cNvSpPr>
              </xdr:nvSpPr>
              <xdr:spPr>
                <a:xfrm>
                  <a:off x="493" y="283"/>
                  <a:ext cx="53" cy="18"/>
                </a:xfrm>
                <a:prstGeom prst="rect">
                  <a:avLst/>
                </a:prstGeom>
                <a:noFill/>
                <a:ln w="9525" cmpd="sng">
                  <a:noFill/>
                </a:ln>
              </xdr:spPr>
              <xdr:txBody>
                <a:bodyPr vertOverflow="clip" wrap="square"/>
                <a:p>
                  <a:pPr algn="ctr">
                    <a:defRPr/>
                  </a:pPr>
                  <a:r>
                    <a:rPr lang="en-US" cap="none" sz="700" b="0" i="0" u="none" baseline="0"/>
                    <a:t>NdeL2</a:t>
                  </a:r>
                </a:p>
              </xdr:txBody>
            </xdr:sp>
            <xdr:sp>
              <xdr:nvSpPr>
                <xdr:cNvPr id="35" name="Line 65"/>
                <xdr:cNvSpPr>
                  <a:spLocks/>
                </xdr:cNvSpPr>
              </xdr:nvSpPr>
              <xdr:spPr>
                <a:xfrm>
                  <a:off x="444" y="298"/>
                  <a:ext cx="46"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66"/>
                <xdr:cNvSpPr>
                  <a:spLocks/>
                </xdr:cNvSpPr>
              </xdr:nvSpPr>
              <xdr:spPr>
                <a:xfrm>
                  <a:off x="497" y="298"/>
                  <a:ext cx="48"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nvGrpSpPr>
            <xdr:cNvPr id="37" name="Group 152"/>
            <xdr:cNvGrpSpPr>
              <a:grpSpLocks/>
            </xdr:cNvGrpSpPr>
          </xdr:nvGrpSpPr>
          <xdr:grpSpPr>
            <a:xfrm>
              <a:off x="351" y="425"/>
              <a:ext cx="152" cy="246"/>
              <a:chOff x="346" y="349"/>
              <a:chExt cx="151" cy="246"/>
            </a:xfrm>
            <a:solidFill>
              <a:srgbClr val="FFFFFF"/>
            </a:solidFill>
          </xdr:grpSpPr>
          <xdr:sp>
            <xdr:nvSpPr>
              <xdr:cNvPr id="38" name="TextBox 100"/>
              <xdr:cNvSpPr txBox="1">
                <a:spLocks noChangeArrowheads="1"/>
              </xdr:cNvSpPr>
            </xdr:nvSpPr>
            <xdr:spPr>
              <a:xfrm>
                <a:off x="346" y="349"/>
                <a:ext cx="151" cy="246"/>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NdeL = Min (NdeL1;NdeL2)
</a:t>
                </a:r>
              </a:p>
            </xdr:txBody>
          </xdr:sp>
          <xdr:grpSp>
            <xdr:nvGrpSpPr>
              <xdr:cNvPr id="39" name="Group 122"/>
              <xdr:cNvGrpSpPr>
                <a:grpSpLocks/>
              </xdr:cNvGrpSpPr>
            </xdr:nvGrpSpPr>
            <xdr:grpSpPr>
              <a:xfrm>
                <a:off x="357" y="370"/>
                <a:ext cx="129" cy="69"/>
                <a:chOff x="602" y="233"/>
                <a:chExt cx="133" cy="76"/>
              </a:xfrm>
              <a:solidFill>
                <a:srgbClr val="FFFFFF"/>
              </a:solidFill>
            </xdr:grpSpPr>
            <xdr:sp>
              <xdr:nvSpPr>
                <xdr:cNvPr id="40" name="Dessin 349"/>
                <xdr:cNvSpPr>
                  <a:spLocks/>
                </xdr:cNvSpPr>
              </xdr:nvSpPr>
              <xdr:spPr>
                <a:xfrm>
                  <a:off x="640" y="268"/>
                  <a:ext cx="17" cy="7"/>
                </a:xfrm>
                <a:custGeom>
                  <a:pathLst>
                    <a:path h="16384" w="16384">
                      <a:moveTo>
                        <a:pt x="0" y="0"/>
                      </a:moveTo>
                      <a:lnTo>
                        <a:pt x="0" y="16384"/>
                      </a:lnTo>
                      <a:lnTo>
                        <a:pt x="16384" y="16384"/>
                      </a:lnTo>
                      <a:lnTo>
                        <a:pt x="16384" y="0"/>
                      </a:lnTo>
                      <a:lnTo>
                        <a:pt x="0" y="0"/>
                      </a:lnTo>
                      <a:close/>
                    </a:path>
                  </a:pathLst>
                </a:custGeom>
                <a:solidFill>
                  <a:srgbClr val="0000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Dessin 350"/>
                <xdr:cNvSpPr>
                  <a:spLocks/>
                </xdr:cNvSpPr>
              </xdr:nvSpPr>
              <xdr:spPr>
                <a:xfrm>
                  <a:off x="619" y="275"/>
                  <a:ext cx="102" cy="34"/>
                </a:xfrm>
                <a:custGeom>
                  <a:pathLst>
                    <a:path h="16384" w="16384">
                      <a:moveTo>
                        <a:pt x="0" y="862"/>
                      </a:moveTo>
                      <a:lnTo>
                        <a:pt x="0" y="0"/>
                      </a:lnTo>
                      <a:lnTo>
                        <a:pt x="16384" y="0"/>
                      </a:lnTo>
                      <a:lnTo>
                        <a:pt x="16384" y="16384"/>
                      </a:lnTo>
                      <a:lnTo>
                        <a:pt x="14247" y="16384"/>
                      </a:lnTo>
                      <a:lnTo>
                        <a:pt x="11754" y="15091"/>
                      </a:lnTo>
                      <a:lnTo>
                        <a:pt x="9617" y="15522"/>
                      </a:lnTo>
                      <a:lnTo>
                        <a:pt x="7480" y="14659"/>
                      </a:lnTo>
                      <a:lnTo>
                        <a:pt x="4274" y="15522"/>
                      </a:lnTo>
                      <a:lnTo>
                        <a:pt x="2849" y="14659"/>
                      </a:lnTo>
                      <a:lnTo>
                        <a:pt x="0" y="14228"/>
                      </a:lnTo>
                      <a:lnTo>
                        <a:pt x="0" y="862"/>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Dessin 351"/>
                <xdr:cNvSpPr>
                  <a:spLocks/>
                </xdr:cNvSpPr>
              </xdr:nvSpPr>
              <xdr:spPr>
                <a:xfrm>
                  <a:off x="602" y="233"/>
                  <a:ext cx="62" cy="35"/>
                </a:xfrm>
                <a:custGeom>
                  <a:pathLst>
                    <a:path h="16384" w="16384">
                      <a:moveTo>
                        <a:pt x="1260" y="0"/>
                      </a:moveTo>
                      <a:lnTo>
                        <a:pt x="16384" y="0"/>
                      </a:lnTo>
                      <a:lnTo>
                        <a:pt x="16384" y="16384"/>
                      </a:lnTo>
                      <a:lnTo>
                        <a:pt x="1260" y="16384"/>
                      </a:lnTo>
                      <a:lnTo>
                        <a:pt x="1260" y="14704"/>
                      </a:lnTo>
                      <a:lnTo>
                        <a:pt x="2521" y="12183"/>
                      </a:lnTo>
                      <a:lnTo>
                        <a:pt x="1260" y="10082"/>
                      </a:lnTo>
                      <a:lnTo>
                        <a:pt x="1890" y="8402"/>
                      </a:lnTo>
                      <a:lnTo>
                        <a:pt x="0" y="6302"/>
                      </a:lnTo>
                      <a:lnTo>
                        <a:pt x="1575" y="5041"/>
                      </a:lnTo>
                      <a:lnTo>
                        <a:pt x="630" y="2941"/>
                      </a:lnTo>
                      <a:lnTo>
                        <a:pt x="1260"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Dessin 352"/>
                <xdr:cNvSpPr>
                  <a:spLocks/>
                </xdr:cNvSpPr>
              </xdr:nvSpPr>
              <xdr:spPr>
                <a:xfrm>
                  <a:off x="675" y="233"/>
                  <a:ext cx="60" cy="35"/>
                </a:xfrm>
                <a:custGeom>
                  <a:pathLst>
                    <a:path h="35" w="60">
                      <a:moveTo>
                        <a:pt x="0" y="0"/>
                      </a:moveTo>
                      <a:lnTo>
                        <a:pt x="57" y="0"/>
                      </a:lnTo>
                      <a:lnTo>
                        <a:pt x="54" y="10"/>
                      </a:lnTo>
                      <a:lnTo>
                        <a:pt x="60" y="14"/>
                      </a:lnTo>
                      <a:lnTo>
                        <a:pt x="54" y="20"/>
                      </a:lnTo>
                      <a:lnTo>
                        <a:pt x="60" y="23"/>
                      </a:lnTo>
                      <a:lnTo>
                        <a:pt x="52" y="29"/>
                      </a:lnTo>
                      <a:lnTo>
                        <a:pt x="57" y="35"/>
                      </a:lnTo>
                      <a:lnTo>
                        <a:pt x="0" y="35"/>
                      </a:lnTo>
                      <a:lnTo>
                        <a:pt x="0"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Dessin 354"/>
                <xdr:cNvSpPr>
                  <a:spLocks/>
                </xdr:cNvSpPr>
              </xdr:nvSpPr>
              <xdr:spPr>
                <a:xfrm>
                  <a:off x="681" y="268"/>
                  <a:ext cx="17" cy="7"/>
                </a:xfrm>
                <a:custGeom>
                  <a:pathLst>
                    <a:path h="16384" w="16384">
                      <a:moveTo>
                        <a:pt x="0" y="0"/>
                      </a:moveTo>
                      <a:lnTo>
                        <a:pt x="0" y="16384"/>
                      </a:lnTo>
                      <a:lnTo>
                        <a:pt x="16384" y="16384"/>
                      </a:lnTo>
                      <a:lnTo>
                        <a:pt x="16384" y="0"/>
                      </a:lnTo>
                      <a:lnTo>
                        <a:pt x="0" y="0"/>
                      </a:lnTo>
                      <a:close/>
                    </a:path>
                  </a:pathLst>
                </a:custGeom>
                <a:solidFill>
                  <a:srgbClr val="0000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Dessin 356"/>
                <xdr:cNvSpPr>
                  <a:spLocks/>
                </xdr:cNvSpPr>
              </xdr:nvSpPr>
              <xdr:spPr>
                <a:xfrm>
                  <a:off x="619" y="287"/>
                  <a:ext cx="0" cy="17"/>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Dessin 357"/>
                <xdr:cNvSpPr>
                  <a:spLocks/>
                </xdr:cNvSpPr>
              </xdr:nvSpPr>
              <xdr:spPr>
                <a:xfrm>
                  <a:off x="663" y="287"/>
                  <a:ext cx="0" cy="18"/>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Dessin 359"/>
                <xdr:cNvSpPr>
                  <a:spLocks/>
                </xdr:cNvSpPr>
              </xdr:nvSpPr>
              <xdr:spPr>
                <a:xfrm>
                  <a:off x="660" y="296"/>
                  <a:ext cx="2" cy="4"/>
                </a:xfrm>
                <a:custGeom>
                  <a:pathLst>
                    <a:path h="16384" w="16384">
                      <a:moveTo>
                        <a:pt x="0" y="0"/>
                      </a:moveTo>
                      <a:lnTo>
                        <a:pt x="0" y="16384"/>
                      </a:lnTo>
                      <a:lnTo>
                        <a:pt x="16384" y="8192"/>
                      </a:lnTo>
                      <a:lnTo>
                        <a:pt x="0" y="0"/>
                      </a:lnTo>
                      <a:close/>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Dessin 360"/>
                <xdr:cNvSpPr>
                  <a:spLocks/>
                </xdr:cNvSpPr>
              </xdr:nvSpPr>
              <xdr:spPr>
                <a:xfrm>
                  <a:off x="619" y="296"/>
                  <a:ext cx="3" cy="4"/>
                </a:xfrm>
                <a:custGeom>
                  <a:pathLst>
                    <a:path h="16384" w="16384">
                      <a:moveTo>
                        <a:pt x="16384" y="16384"/>
                      </a:moveTo>
                      <a:lnTo>
                        <a:pt x="16384" y="0"/>
                      </a:lnTo>
                      <a:lnTo>
                        <a:pt x="0" y="8192"/>
                      </a:lnTo>
                      <a:lnTo>
                        <a:pt x="16384" y="16384"/>
                      </a:lnTo>
                      <a:close/>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Texte 362"/>
                <xdr:cNvSpPr txBox="1">
                  <a:spLocks noChangeArrowheads="1"/>
                </xdr:cNvSpPr>
              </xdr:nvSpPr>
              <xdr:spPr>
                <a:xfrm>
                  <a:off x="612" y="284"/>
                  <a:ext cx="49" cy="18"/>
                </a:xfrm>
                <a:prstGeom prst="rect">
                  <a:avLst/>
                </a:prstGeom>
                <a:noFill/>
                <a:ln w="9525" cmpd="sng">
                  <a:noFill/>
                </a:ln>
              </xdr:spPr>
              <xdr:txBody>
                <a:bodyPr vertOverflow="clip" wrap="square"/>
                <a:p>
                  <a:pPr algn="ctr">
                    <a:defRPr/>
                  </a:pPr>
                  <a:r>
                    <a:rPr lang="en-US" cap="none" sz="700" b="0" i="0" u="none" baseline="0"/>
                    <a:t>NdeL1</a:t>
                  </a:r>
                </a:p>
              </xdr:txBody>
            </xdr:sp>
            <xdr:sp>
              <xdr:nvSpPr>
                <xdr:cNvPr id="50" name="Dessin 364"/>
                <xdr:cNvSpPr>
                  <a:spLocks/>
                </xdr:cNvSpPr>
              </xdr:nvSpPr>
              <xdr:spPr>
                <a:xfrm>
                  <a:off x="676" y="287"/>
                  <a:ext cx="0" cy="17"/>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Dessin 365"/>
                <xdr:cNvSpPr>
                  <a:spLocks/>
                </xdr:cNvSpPr>
              </xdr:nvSpPr>
              <xdr:spPr>
                <a:xfrm>
                  <a:off x="721" y="287"/>
                  <a:ext cx="0" cy="18"/>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Dessin 367"/>
                <xdr:cNvSpPr>
                  <a:spLocks/>
                </xdr:cNvSpPr>
              </xdr:nvSpPr>
              <xdr:spPr>
                <a:xfrm>
                  <a:off x="718" y="296"/>
                  <a:ext cx="2" cy="3"/>
                </a:xfrm>
                <a:custGeom>
                  <a:pathLst>
                    <a:path h="16384" w="16384">
                      <a:moveTo>
                        <a:pt x="0" y="0"/>
                      </a:moveTo>
                      <a:lnTo>
                        <a:pt x="0" y="16384"/>
                      </a:lnTo>
                      <a:lnTo>
                        <a:pt x="16384" y="8192"/>
                      </a:lnTo>
                      <a:lnTo>
                        <a:pt x="0" y="0"/>
                      </a:lnTo>
                      <a:close/>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Dessin 368"/>
                <xdr:cNvSpPr>
                  <a:spLocks/>
                </xdr:cNvSpPr>
              </xdr:nvSpPr>
              <xdr:spPr>
                <a:xfrm>
                  <a:off x="677" y="296"/>
                  <a:ext cx="3" cy="3"/>
                </a:xfrm>
                <a:custGeom>
                  <a:pathLst>
                    <a:path h="16384" w="16384">
                      <a:moveTo>
                        <a:pt x="16384" y="16384"/>
                      </a:moveTo>
                      <a:lnTo>
                        <a:pt x="16384" y="0"/>
                      </a:lnTo>
                      <a:lnTo>
                        <a:pt x="0" y="8192"/>
                      </a:lnTo>
                      <a:lnTo>
                        <a:pt x="16384" y="16384"/>
                      </a:lnTo>
                      <a:close/>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Dessin 369"/>
                <xdr:cNvSpPr>
                  <a:spLocks/>
                </xdr:cNvSpPr>
              </xdr:nvSpPr>
              <xdr:spPr>
                <a:xfrm>
                  <a:off x="690" y="286"/>
                  <a:ext cx="30" cy="15"/>
                </a:xfrm>
                <a:custGeom>
                  <a:pathLst>
                    <a:path h="16384" w="16384">
                      <a:moveTo>
                        <a:pt x="0" y="0"/>
                      </a:moveTo>
                      <a:lnTo>
                        <a:pt x="0" y="16384"/>
                      </a:lnTo>
                      <a:lnTo>
                        <a:pt x="16384" y="16384"/>
                      </a:lnTo>
                      <a:lnTo>
                        <a:pt x="16384" y="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5" name="Texte 370"/>
                <xdr:cNvSpPr txBox="1">
                  <a:spLocks noChangeArrowheads="1"/>
                </xdr:cNvSpPr>
              </xdr:nvSpPr>
              <xdr:spPr>
                <a:xfrm>
                  <a:off x="677" y="284"/>
                  <a:ext cx="47" cy="18"/>
                </a:xfrm>
                <a:prstGeom prst="rect">
                  <a:avLst/>
                </a:prstGeom>
                <a:noFill/>
                <a:ln w="9525" cmpd="sng">
                  <a:noFill/>
                </a:ln>
              </xdr:spPr>
              <xdr:txBody>
                <a:bodyPr vertOverflow="clip" wrap="square"/>
                <a:p>
                  <a:pPr algn="ctr">
                    <a:defRPr/>
                  </a:pPr>
                  <a:r>
                    <a:rPr lang="en-US" cap="none" sz="700" b="0" i="0" u="none" baseline="0"/>
                    <a:t>NdeL2</a:t>
                  </a:r>
                </a:p>
              </xdr:txBody>
            </xdr:sp>
            <xdr:sp>
              <xdr:nvSpPr>
                <xdr:cNvPr id="56" name="Line 139"/>
                <xdr:cNvSpPr>
                  <a:spLocks/>
                </xdr:cNvSpPr>
              </xdr:nvSpPr>
              <xdr:spPr>
                <a:xfrm>
                  <a:off x="620" y="298"/>
                  <a:ext cx="43"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140"/>
                <xdr:cNvSpPr>
                  <a:spLocks/>
                </xdr:cNvSpPr>
              </xdr:nvSpPr>
              <xdr:spPr>
                <a:xfrm>
                  <a:off x="676" y="298"/>
                  <a:ext cx="4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8" name="Group 141"/>
              <xdr:cNvGrpSpPr>
                <a:grpSpLocks/>
              </xdr:cNvGrpSpPr>
            </xdr:nvGrpSpPr>
            <xdr:grpSpPr>
              <a:xfrm>
                <a:off x="373" y="496"/>
                <a:ext cx="104" cy="83"/>
                <a:chOff x="367" y="453"/>
                <a:chExt cx="80" cy="56"/>
              </a:xfrm>
              <a:solidFill>
                <a:srgbClr val="FFFFFF"/>
              </a:solidFill>
            </xdr:grpSpPr>
            <xdr:sp>
              <xdr:nvSpPr>
                <xdr:cNvPr id="59" name="Dessin 288"/>
                <xdr:cNvSpPr>
                  <a:spLocks/>
                </xdr:cNvSpPr>
              </xdr:nvSpPr>
              <xdr:spPr>
                <a:xfrm>
                  <a:off x="390" y="469"/>
                  <a:ext cx="14" cy="7"/>
                </a:xfrm>
                <a:custGeom>
                  <a:pathLst>
                    <a:path h="16384" w="16384">
                      <a:moveTo>
                        <a:pt x="0" y="0"/>
                      </a:moveTo>
                      <a:lnTo>
                        <a:pt x="0" y="16384"/>
                      </a:lnTo>
                      <a:lnTo>
                        <a:pt x="16384" y="16384"/>
                      </a:lnTo>
                      <a:lnTo>
                        <a:pt x="16384" y="0"/>
                      </a:lnTo>
                      <a:lnTo>
                        <a:pt x="0" y="0"/>
                      </a:lnTo>
                      <a:close/>
                    </a:path>
                  </a:pathLst>
                </a:custGeom>
                <a:solidFill>
                  <a:srgbClr val="0000FF"/>
                </a:solidFill>
                <a:ln w="1"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Dessin 305"/>
                <xdr:cNvSpPr>
                  <a:spLocks/>
                </xdr:cNvSpPr>
              </xdr:nvSpPr>
              <xdr:spPr>
                <a:xfrm>
                  <a:off x="384" y="454"/>
                  <a:ext cx="63" cy="40"/>
                </a:xfrm>
                <a:custGeom>
                  <a:pathLst>
                    <a:path h="16384" w="16384">
                      <a:moveTo>
                        <a:pt x="14564" y="0"/>
                      </a:moveTo>
                      <a:lnTo>
                        <a:pt x="14564" y="0"/>
                      </a:lnTo>
                      <a:lnTo>
                        <a:pt x="8440" y="0"/>
                      </a:lnTo>
                      <a:lnTo>
                        <a:pt x="8440" y="8894"/>
                      </a:lnTo>
                      <a:lnTo>
                        <a:pt x="0" y="8894"/>
                      </a:lnTo>
                      <a:lnTo>
                        <a:pt x="0" y="15916"/>
                      </a:lnTo>
                      <a:lnTo>
                        <a:pt x="827" y="15682"/>
                      </a:lnTo>
                      <a:lnTo>
                        <a:pt x="1820" y="15916"/>
                      </a:lnTo>
                      <a:lnTo>
                        <a:pt x="4137" y="15916"/>
                      </a:lnTo>
                      <a:lnTo>
                        <a:pt x="5792" y="16384"/>
                      </a:lnTo>
                      <a:lnTo>
                        <a:pt x="7282" y="15916"/>
                      </a:lnTo>
                      <a:lnTo>
                        <a:pt x="9433" y="15214"/>
                      </a:lnTo>
                      <a:lnTo>
                        <a:pt x="11916" y="15916"/>
                      </a:lnTo>
                      <a:lnTo>
                        <a:pt x="14564" y="15448"/>
                      </a:lnTo>
                      <a:lnTo>
                        <a:pt x="16384" y="14043"/>
                      </a:lnTo>
                      <a:lnTo>
                        <a:pt x="15888" y="11469"/>
                      </a:lnTo>
                      <a:lnTo>
                        <a:pt x="16384" y="9596"/>
                      </a:lnTo>
                      <a:lnTo>
                        <a:pt x="16384" y="7490"/>
                      </a:lnTo>
                      <a:lnTo>
                        <a:pt x="15557" y="4915"/>
                      </a:lnTo>
                      <a:lnTo>
                        <a:pt x="14564" y="2575"/>
                      </a:lnTo>
                      <a:lnTo>
                        <a:pt x="14895" y="1404"/>
                      </a:lnTo>
                      <a:lnTo>
                        <a:pt x="14564" y="0"/>
                      </a:lnTo>
                      <a:close/>
                    </a:path>
                  </a:pathLst>
                </a:custGeom>
                <a:solidFill>
                  <a:srgbClr val="00CC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Dessin 306"/>
                <xdr:cNvSpPr>
                  <a:spLocks/>
                </xdr:cNvSpPr>
              </xdr:nvSpPr>
              <xdr:spPr>
                <a:xfrm>
                  <a:off x="367" y="453"/>
                  <a:ext cx="45" cy="16"/>
                </a:xfrm>
                <a:custGeom>
                  <a:pathLst>
                    <a:path h="16384" w="16384">
                      <a:moveTo>
                        <a:pt x="0" y="0"/>
                      </a:moveTo>
                      <a:lnTo>
                        <a:pt x="16384" y="0"/>
                      </a:lnTo>
                      <a:lnTo>
                        <a:pt x="16384" y="16384"/>
                      </a:lnTo>
                      <a:lnTo>
                        <a:pt x="1365" y="16384"/>
                      </a:lnTo>
                      <a:lnTo>
                        <a:pt x="1365" y="14689"/>
                      </a:lnTo>
                      <a:lnTo>
                        <a:pt x="2276" y="10169"/>
                      </a:lnTo>
                      <a:lnTo>
                        <a:pt x="1820" y="6780"/>
                      </a:lnTo>
                      <a:lnTo>
                        <a:pt x="1138" y="3955"/>
                      </a:lnTo>
                      <a:lnTo>
                        <a:pt x="0" y="0"/>
                      </a:lnTo>
                      <a:close/>
                    </a:path>
                  </a:pathLst>
                </a:custGeom>
                <a:solidFill>
                  <a:srgbClr val="00CC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Dessin 307"/>
                <xdr:cNvSpPr>
                  <a:spLocks/>
                </xdr:cNvSpPr>
              </xdr:nvSpPr>
              <xdr:spPr>
                <a:xfrm>
                  <a:off x="411" y="471"/>
                  <a:ext cx="0" cy="35"/>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Dessin 308"/>
                <xdr:cNvSpPr>
                  <a:spLocks/>
                </xdr:cNvSpPr>
              </xdr:nvSpPr>
              <xdr:spPr>
                <a:xfrm>
                  <a:off x="383" y="495"/>
                  <a:ext cx="0" cy="11"/>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Dessin 309"/>
                <xdr:cNvSpPr>
                  <a:spLocks/>
                </xdr:cNvSpPr>
              </xdr:nvSpPr>
              <xdr:spPr>
                <a:xfrm>
                  <a:off x="385" y="505"/>
                  <a:ext cx="25" cy="0"/>
                </a:xfrm>
                <a:custGeom>
                  <a:pathLst>
                    <a:path h="16384" w="16384">
                      <a:moveTo>
                        <a:pt x="0" y="0"/>
                      </a:moveTo>
                      <a:lnTo>
                        <a:pt x="16384" y="16384"/>
                      </a:lnTo>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Dessin 310"/>
                <xdr:cNvSpPr>
                  <a:spLocks/>
                </xdr:cNvSpPr>
              </xdr:nvSpPr>
              <xdr:spPr>
                <a:xfrm>
                  <a:off x="409" y="504"/>
                  <a:ext cx="2" cy="2"/>
                </a:xfrm>
                <a:custGeom>
                  <a:pathLst>
                    <a:path h="16384" w="16384">
                      <a:moveTo>
                        <a:pt x="0" y="0"/>
                      </a:moveTo>
                      <a:lnTo>
                        <a:pt x="0" y="16384"/>
                      </a:lnTo>
                      <a:lnTo>
                        <a:pt x="16384" y="8192"/>
                      </a:lnTo>
                      <a:lnTo>
                        <a:pt x="0" y="0"/>
                      </a:lnTo>
                      <a:close/>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Dessin 311"/>
                <xdr:cNvSpPr>
                  <a:spLocks/>
                </xdr:cNvSpPr>
              </xdr:nvSpPr>
              <xdr:spPr>
                <a:xfrm>
                  <a:off x="384" y="504"/>
                  <a:ext cx="2" cy="2"/>
                </a:xfrm>
                <a:custGeom>
                  <a:pathLst>
                    <a:path h="16384" w="16384">
                      <a:moveTo>
                        <a:pt x="16384" y="16384"/>
                      </a:moveTo>
                      <a:lnTo>
                        <a:pt x="16384" y="0"/>
                      </a:lnTo>
                      <a:lnTo>
                        <a:pt x="0" y="8192"/>
                      </a:lnTo>
                      <a:lnTo>
                        <a:pt x="16384" y="16384"/>
                      </a:lnTo>
                      <a:close/>
                    </a:path>
                  </a:pathLst>
                </a:custGeom>
                <a:no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Dessin 312"/>
                <xdr:cNvSpPr>
                  <a:spLocks/>
                </xdr:cNvSpPr>
              </xdr:nvSpPr>
              <xdr:spPr>
                <a:xfrm>
                  <a:off x="388" y="496"/>
                  <a:ext cx="21" cy="10"/>
                </a:xfrm>
                <a:custGeom>
                  <a:pathLst>
                    <a:path h="16384" w="16384">
                      <a:moveTo>
                        <a:pt x="0" y="0"/>
                      </a:moveTo>
                      <a:lnTo>
                        <a:pt x="0" y="16384"/>
                      </a:lnTo>
                      <a:lnTo>
                        <a:pt x="16384" y="16384"/>
                      </a:lnTo>
                      <a:lnTo>
                        <a:pt x="16384" y="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8" name="Texte 313"/>
                <xdr:cNvSpPr txBox="1">
                  <a:spLocks noChangeArrowheads="1"/>
                </xdr:cNvSpPr>
              </xdr:nvSpPr>
              <xdr:spPr>
                <a:xfrm>
                  <a:off x="385" y="494"/>
                  <a:ext cx="31" cy="15"/>
                </a:xfrm>
                <a:prstGeom prst="rect">
                  <a:avLst/>
                </a:prstGeom>
                <a:noFill/>
                <a:ln w="9525" cmpd="sng">
                  <a:noFill/>
                </a:ln>
              </xdr:spPr>
              <xdr:txBody>
                <a:bodyPr vertOverflow="clip" wrap="square"/>
                <a:p>
                  <a:pPr algn="l">
                    <a:defRPr/>
                  </a:pPr>
                  <a:r>
                    <a:rPr lang="en-US" cap="none" sz="700" b="0" i="0" u="none" baseline="0"/>
                    <a:t>NdeL</a:t>
                  </a:r>
                </a:p>
              </xdr:txBody>
            </xdr:sp>
          </xdr:grpSp>
        </xdr:grpSp>
      </xdr:grpSp>
      <xdr:grpSp>
        <xdr:nvGrpSpPr>
          <xdr:cNvPr id="69" name="Group 430"/>
          <xdr:cNvGrpSpPr>
            <a:grpSpLocks/>
          </xdr:cNvGrpSpPr>
        </xdr:nvGrpSpPr>
        <xdr:grpSpPr>
          <a:xfrm>
            <a:off x="553" y="353"/>
            <a:ext cx="304" cy="317"/>
            <a:chOff x="553" y="353"/>
            <a:chExt cx="304" cy="317"/>
          </a:xfrm>
          <a:solidFill>
            <a:srgbClr val="FFFFFF"/>
          </a:solidFill>
        </xdr:grpSpPr>
        <xdr:sp>
          <xdr:nvSpPr>
            <xdr:cNvPr id="70" name="TextBox 158"/>
            <xdr:cNvSpPr txBox="1">
              <a:spLocks noChangeArrowheads="1"/>
            </xdr:cNvSpPr>
          </xdr:nvSpPr>
          <xdr:spPr>
            <a:xfrm>
              <a:off x="553" y="353"/>
              <a:ext cx="304" cy="21"/>
            </a:xfrm>
            <a:prstGeom prst="rect">
              <a:avLst/>
            </a:prstGeom>
            <a:noFill/>
            <a:ln w="9525" cmpd="sng">
              <a:solidFill>
                <a:srgbClr val="000000"/>
              </a:solidFill>
              <a:headEnd type="none"/>
              <a:tailEnd type="none"/>
            </a:ln>
          </xdr:spPr>
          <xdr:txBody>
            <a:bodyPr vertOverflow="clip" wrap="square"/>
            <a:p>
              <a:pPr algn="ctr">
                <a:defRPr/>
              </a:pPr>
              <a:r>
                <a:rPr lang="en-US" cap="none" sz="1000" b="1" i="1" u="none" baseline="0">
                  <a:latin typeface="Arial"/>
                  <a:ea typeface="Arial"/>
                  <a:cs typeface="Arial"/>
                </a:rPr>
                <a:t>Echappement transversal</a:t>
              </a:r>
            </a:p>
          </xdr:txBody>
        </xdr:sp>
        <xdr:grpSp>
          <xdr:nvGrpSpPr>
            <xdr:cNvPr id="71" name="Group 267"/>
            <xdr:cNvGrpSpPr>
              <a:grpSpLocks/>
            </xdr:cNvGrpSpPr>
          </xdr:nvGrpSpPr>
          <xdr:grpSpPr>
            <a:xfrm>
              <a:off x="553" y="374"/>
              <a:ext cx="304" cy="296"/>
              <a:chOff x="493" y="289"/>
              <a:chExt cx="302" cy="296"/>
            </a:xfrm>
            <a:solidFill>
              <a:srgbClr val="FFFFFF"/>
            </a:solidFill>
          </xdr:grpSpPr>
          <xdr:sp>
            <xdr:nvSpPr>
              <xdr:cNvPr id="72" name="TextBox 162"/>
              <xdr:cNvSpPr txBox="1">
                <a:spLocks noChangeArrowheads="1"/>
              </xdr:cNvSpPr>
            </xdr:nvSpPr>
            <xdr:spPr>
              <a:xfrm>
                <a:off x="493" y="289"/>
                <a:ext cx="302" cy="296"/>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a:t>
                </a:r>
              </a:p>
            </xdr:txBody>
          </xdr:sp>
          <xdr:grpSp>
            <xdr:nvGrpSpPr>
              <xdr:cNvPr id="73" name="Group 222"/>
              <xdr:cNvGrpSpPr>
                <a:grpSpLocks/>
              </xdr:cNvGrpSpPr>
            </xdr:nvGrpSpPr>
            <xdr:grpSpPr>
              <a:xfrm>
                <a:off x="536" y="301"/>
                <a:ext cx="203" cy="59"/>
                <a:chOff x="427" y="99"/>
                <a:chExt cx="203" cy="59"/>
              </a:xfrm>
              <a:solidFill>
                <a:srgbClr val="FFFFFF"/>
              </a:solidFill>
            </xdr:grpSpPr>
            <xdr:sp>
              <xdr:nvSpPr>
                <xdr:cNvPr id="74" name="Polygon 223"/>
                <xdr:cNvSpPr>
                  <a:spLocks/>
                </xdr:cNvSpPr>
              </xdr:nvSpPr>
              <xdr:spPr>
                <a:xfrm>
                  <a:off x="427" y="103"/>
                  <a:ext cx="203" cy="19"/>
                </a:xfrm>
                <a:custGeom>
                  <a:pathLst>
                    <a:path h="19" w="203">
                      <a:moveTo>
                        <a:pt x="0" y="0"/>
                      </a:moveTo>
                      <a:lnTo>
                        <a:pt x="203" y="0"/>
                      </a:lnTo>
                      <a:lnTo>
                        <a:pt x="203" y="4"/>
                      </a:lnTo>
                      <a:lnTo>
                        <a:pt x="171" y="7"/>
                      </a:lnTo>
                      <a:lnTo>
                        <a:pt x="164" y="19"/>
                      </a:lnTo>
                      <a:lnTo>
                        <a:pt x="45" y="19"/>
                      </a:lnTo>
                      <a:lnTo>
                        <a:pt x="38" y="7"/>
                      </a:lnTo>
                      <a:lnTo>
                        <a:pt x="0" y="4"/>
                      </a:lnTo>
                      <a:lnTo>
                        <a:pt x="0"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Rectangle 224"/>
                <xdr:cNvSpPr>
                  <a:spLocks/>
                </xdr:cNvSpPr>
              </xdr:nvSpPr>
              <xdr:spPr>
                <a:xfrm>
                  <a:off x="488" y="122"/>
                  <a:ext cx="15" cy="4"/>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Rectangle 225"/>
                <xdr:cNvSpPr>
                  <a:spLocks/>
                </xdr:cNvSpPr>
              </xdr:nvSpPr>
              <xdr:spPr>
                <a:xfrm>
                  <a:off x="560" y="122"/>
                  <a:ext cx="15" cy="4"/>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Polygon 226"/>
                <xdr:cNvSpPr>
                  <a:spLocks/>
                </xdr:cNvSpPr>
              </xdr:nvSpPr>
              <xdr:spPr>
                <a:xfrm>
                  <a:off x="482" y="126"/>
                  <a:ext cx="101" cy="27"/>
                </a:xfrm>
                <a:custGeom>
                  <a:pathLst>
                    <a:path h="66" w="101">
                      <a:moveTo>
                        <a:pt x="0" y="0"/>
                      </a:moveTo>
                      <a:lnTo>
                        <a:pt x="101" y="0"/>
                      </a:lnTo>
                      <a:lnTo>
                        <a:pt x="101" y="62"/>
                      </a:lnTo>
                      <a:lnTo>
                        <a:pt x="91" y="60"/>
                      </a:lnTo>
                      <a:lnTo>
                        <a:pt x="84" y="62"/>
                      </a:lnTo>
                      <a:lnTo>
                        <a:pt x="72" y="58"/>
                      </a:lnTo>
                      <a:lnTo>
                        <a:pt x="67" y="65"/>
                      </a:lnTo>
                      <a:lnTo>
                        <a:pt x="59" y="63"/>
                      </a:lnTo>
                      <a:lnTo>
                        <a:pt x="53" y="58"/>
                      </a:lnTo>
                      <a:lnTo>
                        <a:pt x="41" y="62"/>
                      </a:lnTo>
                      <a:lnTo>
                        <a:pt x="31" y="66"/>
                      </a:lnTo>
                      <a:lnTo>
                        <a:pt x="30" y="62"/>
                      </a:lnTo>
                      <a:lnTo>
                        <a:pt x="24" y="61"/>
                      </a:lnTo>
                      <a:lnTo>
                        <a:pt x="19" y="58"/>
                      </a:lnTo>
                      <a:lnTo>
                        <a:pt x="12" y="60"/>
                      </a:lnTo>
                      <a:lnTo>
                        <a:pt x="6" y="54"/>
                      </a:lnTo>
                      <a:lnTo>
                        <a:pt x="3" y="57"/>
                      </a:lnTo>
                      <a:lnTo>
                        <a:pt x="0" y="54"/>
                      </a:lnTo>
                      <a:lnTo>
                        <a:pt x="0"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AutoShape 227"/>
                <xdr:cNvSpPr>
                  <a:spLocks/>
                </xdr:cNvSpPr>
              </xdr:nvSpPr>
              <xdr:spPr>
                <a:xfrm>
                  <a:off x="533" y="146"/>
                  <a:ext cx="51" cy="1"/>
                </a:xfrm>
                <a:custGeom>
                  <a:pathLst>
                    <a:path h="1" w="51">
                      <a:moveTo>
                        <a:pt x="0" y="0"/>
                      </a:moveTo>
                      <a:lnTo>
                        <a:pt x="51" y="0"/>
                      </a:ln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Dessin 310"/>
                <xdr:cNvSpPr>
                  <a:spLocks/>
                </xdr:cNvSpPr>
              </xdr:nvSpPr>
              <xdr:spPr>
                <a:xfrm>
                  <a:off x="580" y="144"/>
                  <a:ext cx="3" cy="3"/>
                </a:xfrm>
                <a:custGeom>
                  <a:pathLst>
                    <a:path h="16384" w="16384">
                      <a:moveTo>
                        <a:pt x="0" y="0"/>
                      </a:moveTo>
                      <a:lnTo>
                        <a:pt x="0" y="16384"/>
                      </a:lnTo>
                      <a:lnTo>
                        <a:pt x="16384" y="8192"/>
                      </a:lnTo>
                      <a:lnTo>
                        <a:pt x="0" y="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Dessin 311"/>
                <xdr:cNvSpPr>
                  <a:spLocks/>
                </xdr:cNvSpPr>
              </xdr:nvSpPr>
              <xdr:spPr>
                <a:xfrm>
                  <a:off x="531" y="144"/>
                  <a:ext cx="4" cy="3"/>
                </a:xfrm>
                <a:custGeom>
                  <a:pathLst>
                    <a:path h="16384" w="16384">
                      <a:moveTo>
                        <a:pt x="16384" y="16384"/>
                      </a:moveTo>
                      <a:lnTo>
                        <a:pt x="16384" y="0"/>
                      </a:lnTo>
                      <a:lnTo>
                        <a:pt x="0" y="8192"/>
                      </a:lnTo>
                      <a:lnTo>
                        <a:pt x="16384" y="16384"/>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TextBox 230"/>
                <xdr:cNvSpPr txBox="1">
                  <a:spLocks noChangeArrowheads="1"/>
                </xdr:cNvSpPr>
              </xdr:nvSpPr>
              <xdr:spPr>
                <a:xfrm>
                  <a:off x="535" y="132"/>
                  <a:ext cx="47" cy="17"/>
                </a:xfrm>
                <a:prstGeom prst="rect">
                  <a:avLst/>
                </a:prstGeom>
                <a:noFill/>
                <a:ln w="6350" cmpd="sng">
                  <a:noFill/>
                </a:ln>
              </xdr:spPr>
              <xdr:txBody>
                <a:bodyPr vertOverflow="clip" wrap="square"/>
                <a:p>
                  <a:pPr algn="ctr">
                    <a:defRPr/>
                  </a:pPr>
                  <a:r>
                    <a:rPr lang="en-US" cap="none" sz="800" b="0" i="0" u="none" baseline="0"/>
                    <a:t>NdeT</a:t>
                  </a:r>
                </a:p>
              </xdr:txBody>
            </xdr:sp>
            <xdr:sp>
              <xdr:nvSpPr>
                <xdr:cNvPr id="82" name="Line 231"/>
                <xdr:cNvSpPr>
                  <a:spLocks/>
                </xdr:cNvSpPr>
              </xdr:nvSpPr>
              <xdr:spPr>
                <a:xfrm flipV="1">
                  <a:off x="531" y="99"/>
                  <a:ext cx="0" cy="59"/>
                </a:xfrm>
                <a:prstGeom prst="line">
                  <a:avLst/>
                </a:prstGeom>
                <a:noFill/>
                <a:ln w="317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83" name="Group 232"/>
              <xdr:cNvGrpSpPr>
                <a:grpSpLocks/>
              </xdr:cNvGrpSpPr>
            </xdr:nvGrpSpPr>
            <xdr:grpSpPr>
              <a:xfrm>
                <a:off x="541" y="387"/>
                <a:ext cx="203" cy="55"/>
                <a:chOff x="428" y="167"/>
                <a:chExt cx="203" cy="55"/>
              </a:xfrm>
              <a:solidFill>
                <a:srgbClr val="FFFFFF"/>
              </a:solidFill>
            </xdr:grpSpPr>
            <xdr:sp>
              <xdr:nvSpPr>
                <xdr:cNvPr id="84" name="Polygon 233"/>
                <xdr:cNvSpPr>
                  <a:spLocks/>
                </xdr:cNvSpPr>
              </xdr:nvSpPr>
              <xdr:spPr>
                <a:xfrm>
                  <a:off x="428" y="167"/>
                  <a:ext cx="203" cy="20"/>
                </a:xfrm>
                <a:custGeom>
                  <a:pathLst>
                    <a:path h="20" w="203">
                      <a:moveTo>
                        <a:pt x="0" y="0"/>
                      </a:moveTo>
                      <a:lnTo>
                        <a:pt x="203" y="0"/>
                      </a:lnTo>
                      <a:lnTo>
                        <a:pt x="203" y="4"/>
                      </a:lnTo>
                      <a:lnTo>
                        <a:pt x="171" y="7"/>
                      </a:lnTo>
                      <a:lnTo>
                        <a:pt x="164" y="20"/>
                      </a:lnTo>
                      <a:lnTo>
                        <a:pt x="45" y="20"/>
                      </a:lnTo>
                      <a:lnTo>
                        <a:pt x="38" y="8"/>
                      </a:lnTo>
                      <a:lnTo>
                        <a:pt x="0" y="4"/>
                      </a:lnTo>
                      <a:lnTo>
                        <a:pt x="0"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Rectangle 234"/>
                <xdr:cNvSpPr>
                  <a:spLocks/>
                </xdr:cNvSpPr>
              </xdr:nvSpPr>
              <xdr:spPr>
                <a:xfrm>
                  <a:off x="493" y="188"/>
                  <a:ext cx="15" cy="4"/>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Rectangle 235"/>
                <xdr:cNvSpPr>
                  <a:spLocks/>
                </xdr:cNvSpPr>
              </xdr:nvSpPr>
              <xdr:spPr>
                <a:xfrm>
                  <a:off x="555" y="188"/>
                  <a:ext cx="15" cy="4"/>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Polygon 236"/>
                <xdr:cNvSpPr>
                  <a:spLocks/>
                </xdr:cNvSpPr>
              </xdr:nvSpPr>
              <xdr:spPr>
                <a:xfrm>
                  <a:off x="482" y="192"/>
                  <a:ext cx="37" cy="28"/>
                </a:xfrm>
                <a:custGeom>
                  <a:pathLst>
                    <a:path h="28" w="25">
                      <a:moveTo>
                        <a:pt x="0" y="0"/>
                      </a:moveTo>
                      <a:lnTo>
                        <a:pt x="25" y="0"/>
                      </a:lnTo>
                      <a:lnTo>
                        <a:pt x="25" y="28"/>
                      </a:lnTo>
                      <a:lnTo>
                        <a:pt x="19" y="25"/>
                      </a:lnTo>
                      <a:lnTo>
                        <a:pt x="14" y="25"/>
                      </a:lnTo>
                      <a:lnTo>
                        <a:pt x="10" y="26"/>
                      </a:lnTo>
                      <a:lnTo>
                        <a:pt x="6" y="21"/>
                      </a:lnTo>
                      <a:lnTo>
                        <a:pt x="1" y="23"/>
                      </a:lnTo>
                      <a:lnTo>
                        <a:pt x="0" y="18"/>
                      </a:lnTo>
                      <a:lnTo>
                        <a:pt x="0"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Polygon 237"/>
                <xdr:cNvSpPr>
                  <a:spLocks/>
                </xdr:cNvSpPr>
              </xdr:nvSpPr>
              <xdr:spPr>
                <a:xfrm>
                  <a:off x="543" y="192"/>
                  <a:ext cx="38" cy="30"/>
                </a:xfrm>
                <a:custGeom>
                  <a:pathLst>
                    <a:path h="28" w="25">
                      <a:moveTo>
                        <a:pt x="0" y="0"/>
                      </a:moveTo>
                      <a:lnTo>
                        <a:pt x="25" y="0"/>
                      </a:lnTo>
                      <a:lnTo>
                        <a:pt x="25" y="28"/>
                      </a:lnTo>
                      <a:lnTo>
                        <a:pt x="19" y="25"/>
                      </a:lnTo>
                      <a:lnTo>
                        <a:pt x="14" y="25"/>
                      </a:lnTo>
                      <a:lnTo>
                        <a:pt x="10" y="26"/>
                      </a:lnTo>
                      <a:lnTo>
                        <a:pt x="6" y="21"/>
                      </a:lnTo>
                      <a:lnTo>
                        <a:pt x="1" y="23"/>
                      </a:lnTo>
                      <a:lnTo>
                        <a:pt x="0" y="18"/>
                      </a:lnTo>
                      <a:lnTo>
                        <a:pt x="0"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AutoShape 238"/>
                <xdr:cNvSpPr>
                  <a:spLocks/>
                </xdr:cNvSpPr>
              </xdr:nvSpPr>
              <xdr:spPr>
                <a:xfrm>
                  <a:off x="473" y="209"/>
                  <a:ext cx="46" cy="1"/>
                </a:xfrm>
                <a:custGeom>
                  <a:pathLst>
                    <a:path h="1" w="46">
                      <a:moveTo>
                        <a:pt x="0" y="0"/>
                      </a:moveTo>
                      <a:lnTo>
                        <a:pt x="46" y="0"/>
                      </a:ln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Dessin 310"/>
                <xdr:cNvSpPr>
                  <a:spLocks/>
                </xdr:cNvSpPr>
              </xdr:nvSpPr>
              <xdr:spPr>
                <a:xfrm>
                  <a:off x="515" y="207"/>
                  <a:ext cx="2" cy="3"/>
                </a:xfrm>
                <a:custGeom>
                  <a:pathLst>
                    <a:path h="16384" w="16384">
                      <a:moveTo>
                        <a:pt x="0" y="0"/>
                      </a:moveTo>
                      <a:lnTo>
                        <a:pt x="0" y="16384"/>
                      </a:lnTo>
                      <a:lnTo>
                        <a:pt x="16384" y="8192"/>
                      </a:lnTo>
                      <a:lnTo>
                        <a:pt x="0" y="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Dessin 311"/>
                <xdr:cNvSpPr>
                  <a:spLocks/>
                </xdr:cNvSpPr>
              </xdr:nvSpPr>
              <xdr:spPr>
                <a:xfrm>
                  <a:off x="473" y="207"/>
                  <a:ext cx="3" cy="3"/>
                </a:xfrm>
                <a:custGeom>
                  <a:pathLst>
                    <a:path h="16384" w="16384">
                      <a:moveTo>
                        <a:pt x="16384" y="16384"/>
                      </a:moveTo>
                      <a:lnTo>
                        <a:pt x="16384" y="0"/>
                      </a:lnTo>
                      <a:lnTo>
                        <a:pt x="0" y="8192"/>
                      </a:lnTo>
                      <a:lnTo>
                        <a:pt x="16384" y="16384"/>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TextBox 241"/>
                <xdr:cNvSpPr txBox="1">
                  <a:spLocks noChangeArrowheads="1"/>
                </xdr:cNvSpPr>
              </xdr:nvSpPr>
              <xdr:spPr>
                <a:xfrm>
                  <a:off x="483" y="195"/>
                  <a:ext cx="40" cy="17"/>
                </a:xfrm>
                <a:prstGeom prst="rect">
                  <a:avLst/>
                </a:prstGeom>
                <a:noFill/>
                <a:ln w="6350" cmpd="sng">
                  <a:noFill/>
                </a:ln>
              </xdr:spPr>
              <xdr:txBody>
                <a:bodyPr vertOverflow="clip" wrap="square"/>
                <a:p>
                  <a:pPr algn="ctr">
                    <a:defRPr/>
                  </a:pPr>
                  <a:r>
                    <a:rPr lang="en-US" cap="none" sz="700" b="0" i="0" u="none" baseline="0"/>
                    <a:t>NdeT</a:t>
                  </a:r>
                </a:p>
              </xdr:txBody>
            </xdr:sp>
            <xdr:sp>
              <xdr:nvSpPr>
                <xdr:cNvPr id="93" name="Line 242"/>
                <xdr:cNvSpPr>
                  <a:spLocks/>
                </xdr:cNvSpPr>
              </xdr:nvSpPr>
              <xdr:spPr>
                <a:xfrm>
                  <a:off x="473" y="188"/>
                  <a:ext cx="0"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243"/>
                <xdr:cNvSpPr>
                  <a:spLocks/>
                </xdr:cNvSpPr>
              </xdr:nvSpPr>
              <xdr:spPr>
                <a:xfrm>
                  <a:off x="519" y="193"/>
                  <a:ext cx="0" cy="2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5" name="Group 244"/>
              <xdr:cNvGrpSpPr>
                <a:grpSpLocks/>
              </xdr:cNvGrpSpPr>
            </xdr:nvGrpSpPr>
            <xdr:grpSpPr>
              <a:xfrm>
                <a:off x="554" y="462"/>
                <a:ext cx="180" cy="103"/>
                <a:chOff x="694" y="108"/>
                <a:chExt cx="180" cy="103"/>
              </a:xfrm>
              <a:solidFill>
                <a:srgbClr val="FFFFFF"/>
              </a:solidFill>
            </xdr:grpSpPr>
            <xdr:sp>
              <xdr:nvSpPr>
                <xdr:cNvPr id="96" name="Polygon 245"/>
                <xdr:cNvSpPr>
                  <a:spLocks/>
                </xdr:cNvSpPr>
              </xdr:nvSpPr>
              <xdr:spPr>
                <a:xfrm>
                  <a:off x="696" y="151"/>
                  <a:ext cx="178" cy="60"/>
                </a:xfrm>
                <a:custGeom>
                  <a:pathLst>
                    <a:path h="71" w="142">
                      <a:moveTo>
                        <a:pt x="0" y="0"/>
                      </a:moveTo>
                      <a:lnTo>
                        <a:pt x="142" y="0"/>
                      </a:lnTo>
                      <a:lnTo>
                        <a:pt x="142" y="59"/>
                      </a:lnTo>
                      <a:lnTo>
                        <a:pt x="126" y="55"/>
                      </a:lnTo>
                      <a:lnTo>
                        <a:pt x="111" y="61"/>
                      </a:lnTo>
                      <a:lnTo>
                        <a:pt x="97" y="47"/>
                      </a:lnTo>
                      <a:lnTo>
                        <a:pt x="73" y="71"/>
                      </a:lnTo>
                      <a:lnTo>
                        <a:pt x="57" y="57"/>
                      </a:lnTo>
                      <a:lnTo>
                        <a:pt x="39" y="58"/>
                      </a:lnTo>
                      <a:lnTo>
                        <a:pt x="32" y="66"/>
                      </a:lnTo>
                      <a:lnTo>
                        <a:pt x="12" y="50"/>
                      </a:lnTo>
                      <a:lnTo>
                        <a:pt x="0" y="53"/>
                      </a:lnTo>
                      <a:lnTo>
                        <a:pt x="0" y="8"/>
                      </a:lnTo>
                      <a:lnTo>
                        <a:pt x="0" y="0"/>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97" name="Group 246"/>
                <xdr:cNvGrpSpPr>
                  <a:grpSpLocks/>
                </xdr:cNvGrpSpPr>
              </xdr:nvGrpSpPr>
              <xdr:grpSpPr>
                <a:xfrm>
                  <a:off x="840" y="109"/>
                  <a:ext cx="20" cy="42"/>
                  <a:chOff x="452" y="2516"/>
                  <a:chExt cx="19" cy="49"/>
                </a:xfrm>
                <a:solidFill>
                  <a:srgbClr val="FFFFFF"/>
                </a:solidFill>
              </xdr:grpSpPr>
              <xdr:sp>
                <xdr:nvSpPr>
                  <xdr:cNvPr id="98" name="Polygon 247"/>
                  <xdr:cNvSpPr>
                    <a:spLocks/>
                  </xdr:cNvSpPr>
                </xdr:nvSpPr>
                <xdr:spPr>
                  <a:xfrm>
                    <a:off x="452" y="2516"/>
                    <a:ext cx="19" cy="45"/>
                  </a:xfrm>
                  <a:custGeom>
                    <a:pathLst>
                      <a:path h="47" w="37">
                        <a:moveTo>
                          <a:pt x="11" y="1"/>
                        </a:moveTo>
                        <a:lnTo>
                          <a:pt x="11" y="32"/>
                        </a:lnTo>
                        <a:lnTo>
                          <a:pt x="0" y="39"/>
                        </a:lnTo>
                        <a:lnTo>
                          <a:pt x="0" y="47"/>
                        </a:lnTo>
                        <a:lnTo>
                          <a:pt x="37" y="47"/>
                        </a:lnTo>
                        <a:lnTo>
                          <a:pt x="37" y="39"/>
                        </a:lnTo>
                        <a:lnTo>
                          <a:pt x="23" y="31"/>
                        </a:lnTo>
                        <a:lnTo>
                          <a:pt x="23" y="1"/>
                        </a:lnTo>
                        <a:lnTo>
                          <a:pt x="16" y="0"/>
                        </a:lnTo>
                        <a:lnTo>
                          <a:pt x="11" y="1"/>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Rectangle 248"/>
                  <xdr:cNvSpPr>
                    <a:spLocks/>
                  </xdr:cNvSpPr>
                </xdr:nvSpPr>
                <xdr:spPr>
                  <a:xfrm>
                    <a:off x="457" y="2561"/>
                    <a:ext cx="10" cy="4"/>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0" name="Group 249"/>
                <xdr:cNvGrpSpPr>
                  <a:grpSpLocks/>
                </xdr:cNvGrpSpPr>
              </xdr:nvGrpSpPr>
              <xdr:grpSpPr>
                <a:xfrm>
                  <a:off x="808" y="109"/>
                  <a:ext cx="19" cy="42"/>
                  <a:chOff x="452" y="2516"/>
                  <a:chExt cx="19" cy="49"/>
                </a:xfrm>
                <a:solidFill>
                  <a:srgbClr val="FFFFFF"/>
                </a:solidFill>
              </xdr:grpSpPr>
              <xdr:sp>
                <xdr:nvSpPr>
                  <xdr:cNvPr id="101" name="Polygon 250"/>
                  <xdr:cNvSpPr>
                    <a:spLocks/>
                  </xdr:cNvSpPr>
                </xdr:nvSpPr>
                <xdr:spPr>
                  <a:xfrm>
                    <a:off x="452" y="2516"/>
                    <a:ext cx="19" cy="45"/>
                  </a:xfrm>
                  <a:custGeom>
                    <a:pathLst>
                      <a:path h="47" w="37">
                        <a:moveTo>
                          <a:pt x="11" y="1"/>
                        </a:moveTo>
                        <a:lnTo>
                          <a:pt x="11" y="32"/>
                        </a:lnTo>
                        <a:lnTo>
                          <a:pt x="0" y="39"/>
                        </a:lnTo>
                        <a:lnTo>
                          <a:pt x="0" y="47"/>
                        </a:lnTo>
                        <a:lnTo>
                          <a:pt x="37" y="47"/>
                        </a:lnTo>
                        <a:lnTo>
                          <a:pt x="37" y="39"/>
                        </a:lnTo>
                        <a:lnTo>
                          <a:pt x="23" y="31"/>
                        </a:lnTo>
                        <a:lnTo>
                          <a:pt x="23" y="1"/>
                        </a:lnTo>
                        <a:lnTo>
                          <a:pt x="16" y="0"/>
                        </a:lnTo>
                        <a:lnTo>
                          <a:pt x="11" y="1"/>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2" name="Rectangle 251"/>
                  <xdr:cNvSpPr>
                    <a:spLocks/>
                  </xdr:cNvSpPr>
                </xdr:nvSpPr>
                <xdr:spPr>
                  <a:xfrm>
                    <a:off x="457" y="2561"/>
                    <a:ext cx="10" cy="4"/>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3" name="Group 252"/>
                <xdr:cNvGrpSpPr>
                  <a:grpSpLocks/>
                </xdr:cNvGrpSpPr>
              </xdr:nvGrpSpPr>
              <xdr:grpSpPr>
                <a:xfrm>
                  <a:off x="777" y="109"/>
                  <a:ext cx="19" cy="42"/>
                  <a:chOff x="452" y="2516"/>
                  <a:chExt cx="19" cy="49"/>
                </a:xfrm>
                <a:solidFill>
                  <a:srgbClr val="FFFFFF"/>
                </a:solidFill>
              </xdr:grpSpPr>
              <xdr:sp>
                <xdr:nvSpPr>
                  <xdr:cNvPr id="104" name="Polygon 253"/>
                  <xdr:cNvSpPr>
                    <a:spLocks/>
                  </xdr:cNvSpPr>
                </xdr:nvSpPr>
                <xdr:spPr>
                  <a:xfrm>
                    <a:off x="452" y="2516"/>
                    <a:ext cx="19" cy="45"/>
                  </a:xfrm>
                  <a:custGeom>
                    <a:pathLst>
                      <a:path h="47" w="37">
                        <a:moveTo>
                          <a:pt x="11" y="1"/>
                        </a:moveTo>
                        <a:lnTo>
                          <a:pt x="11" y="32"/>
                        </a:lnTo>
                        <a:lnTo>
                          <a:pt x="0" y="39"/>
                        </a:lnTo>
                        <a:lnTo>
                          <a:pt x="0" y="47"/>
                        </a:lnTo>
                        <a:lnTo>
                          <a:pt x="37" y="47"/>
                        </a:lnTo>
                        <a:lnTo>
                          <a:pt x="37" y="39"/>
                        </a:lnTo>
                        <a:lnTo>
                          <a:pt x="23" y="31"/>
                        </a:lnTo>
                        <a:lnTo>
                          <a:pt x="23" y="1"/>
                        </a:lnTo>
                        <a:lnTo>
                          <a:pt x="16" y="0"/>
                        </a:lnTo>
                        <a:lnTo>
                          <a:pt x="11" y="1"/>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Rectangle 254"/>
                  <xdr:cNvSpPr>
                    <a:spLocks/>
                  </xdr:cNvSpPr>
                </xdr:nvSpPr>
                <xdr:spPr>
                  <a:xfrm>
                    <a:off x="457" y="2561"/>
                    <a:ext cx="10" cy="4"/>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6" name="Group 255"/>
                <xdr:cNvGrpSpPr>
                  <a:grpSpLocks/>
                </xdr:cNvGrpSpPr>
              </xdr:nvGrpSpPr>
              <xdr:grpSpPr>
                <a:xfrm>
                  <a:off x="746" y="108"/>
                  <a:ext cx="19" cy="42"/>
                  <a:chOff x="452" y="2516"/>
                  <a:chExt cx="19" cy="49"/>
                </a:xfrm>
                <a:solidFill>
                  <a:srgbClr val="FFFFFF"/>
                </a:solidFill>
              </xdr:grpSpPr>
              <xdr:sp>
                <xdr:nvSpPr>
                  <xdr:cNvPr id="107" name="Polygon 256"/>
                  <xdr:cNvSpPr>
                    <a:spLocks/>
                  </xdr:cNvSpPr>
                </xdr:nvSpPr>
                <xdr:spPr>
                  <a:xfrm>
                    <a:off x="452" y="2516"/>
                    <a:ext cx="19" cy="45"/>
                  </a:xfrm>
                  <a:custGeom>
                    <a:pathLst>
                      <a:path h="47" w="37">
                        <a:moveTo>
                          <a:pt x="11" y="1"/>
                        </a:moveTo>
                        <a:lnTo>
                          <a:pt x="11" y="32"/>
                        </a:lnTo>
                        <a:lnTo>
                          <a:pt x="0" y="39"/>
                        </a:lnTo>
                        <a:lnTo>
                          <a:pt x="0" y="47"/>
                        </a:lnTo>
                        <a:lnTo>
                          <a:pt x="37" y="47"/>
                        </a:lnTo>
                        <a:lnTo>
                          <a:pt x="37" y="39"/>
                        </a:lnTo>
                        <a:lnTo>
                          <a:pt x="23" y="31"/>
                        </a:lnTo>
                        <a:lnTo>
                          <a:pt x="23" y="1"/>
                        </a:lnTo>
                        <a:lnTo>
                          <a:pt x="16" y="0"/>
                        </a:lnTo>
                        <a:lnTo>
                          <a:pt x="11" y="1"/>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Rectangle 257"/>
                  <xdr:cNvSpPr>
                    <a:spLocks/>
                  </xdr:cNvSpPr>
                </xdr:nvSpPr>
                <xdr:spPr>
                  <a:xfrm>
                    <a:off x="457" y="2561"/>
                    <a:ext cx="10" cy="4"/>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9" name="Group 258"/>
                <xdr:cNvGrpSpPr>
                  <a:grpSpLocks/>
                </xdr:cNvGrpSpPr>
              </xdr:nvGrpSpPr>
              <xdr:grpSpPr>
                <a:xfrm>
                  <a:off x="715" y="109"/>
                  <a:ext cx="19" cy="42"/>
                  <a:chOff x="452" y="2516"/>
                  <a:chExt cx="19" cy="49"/>
                </a:xfrm>
                <a:solidFill>
                  <a:srgbClr val="FFFFFF"/>
                </a:solidFill>
              </xdr:grpSpPr>
              <xdr:sp>
                <xdr:nvSpPr>
                  <xdr:cNvPr id="110" name="Polygon 259"/>
                  <xdr:cNvSpPr>
                    <a:spLocks/>
                  </xdr:cNvSpPr>
                </xdr:nvSpPr>
                <xdr:spPr>
                  <a:xfrm>
                    <a:off x="452" y="2516"/>
                    <a:ext cx="19" cy="45"/>
                  </a:xfrm>
                  <a:custGeom>
                    <a:pathLst>
                      <a:path h="47" w="37">
                        <a:moveTo>
                          <a:pt x="11" y="1"/>
                        </a:moveTo>
                        <a:lnTo>
                          <a:pt x="11" y="32"/>
                        </a:lnTo>
                        <a:lnTo>
                          <a:pt x="0" y="39"/>
                        </a:lnTo>
                        <a:lnTo>
                          <a:pt x="0" y="47"/>
                        </a:lnTo>
                        <a:lnTo>
                          <a:pt x="37" y="47"/>
                        </a:lnTo>
                        <a:lnTo>
                          <a:pt x="37" y="39"/>
                        </a:lnTo>
                        <a:lnTo>
                          <a:pt x="23" y="31"/>
                        </a:lnTo>
                        <a:lnTo>
                          <a:pt x="23" y="1"/>
                        </a:lnTo>
                        <a:lnTo>
                          <a:pt x="16" y="0"/>
                        </a:lnTo>
                        <a:lnTo>
                          <a:pt x="11" y="1"/>
                        </a:lnTo>
                        <a:close/>
                      </a:path>
                    </a:pathLst>
                  </a:custGeom>
                  <a:solidFill>
                    <a:srgbClr val="00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260"/>
                  <xdr:cNvSpPr>
                    <a:spLocks/>
                  </xdr:cNvSpPr>
                </xdr:nvSpPr>
                <xdr:spPr>
                  <a:xfrm>
                    <a:off x="457" y="2561"/>
                    <a:ext cx="10" cy="4"/>
                  </a:xfrm>
                  <a:prstGeom prst="rect">
                    <a:avLst/>
                  </a:prstGeom>
                  <a:solidFill>
                    <a:srgbClr val="0000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2" name="Line 261"/>
                <xdr:cNvSpPr>
                  <a:spLocks/>
                </xdr:cNvSpPr>
              </xdr:nvSpPr>
              <xdr:spPr>
                <a:xfrm>
                  <a:off x="697" y="176"/>
                  <a:ext cx="36"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Dessin 310"/>
                <xdr:cNvSpPr>
                  <a:spLocks/>
                </xdr:cNvSpPr>
              </xdr:nvSpPr>
              <xdr:spPr>
                <a:xfrm>
                  <a:off x="730" y="174"/>
                  <a:ext cx="2" cy="3"/>
                </a:xfrm>
                <a:custGeom>
                  <a:pathLst>
                    <a:path h="16384" w="16384">
                      <a:moveTo>
                        <a:pt x="0" y="0"/>
                      </a:moveTo>
                      <a:lnTo>
                        <a:pt x="0" y="16384"/>
                      </a:lnTo>
                      <a:lnTo>
                        <a:pt x="16384" y="8192"/>
                      </a:lnTo>
                      <a:lnTo>
                        <a:pt x="0" y="0"/>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Dessin 311"/>
                <xdr:cNvSpPr>
                  <a:spLocks/>
                </xdr:cNvSpPr>
              </xdr:nvSpPr>
              <xdr:spPr>
                <a:xfrm>
                  <a:off x="696" y="174"/>
                  <a:ext cx="3" cy="3"/>
                </a:xfrm>
                <a:custGeom>
                  <a:pathLst>
                    <a:path h="16384" w="16384">
                      <a:moveTo>
                        <a:pt x="16384" y="16384"/>
                      </a:moveTo>
                      <a:lnTo>
                        <a:pt x="16384" y="0"/>
                      </a:lnTo>
                      <a:lnTo>
                        <a:pt x="0" y="8192"/>
                      </a:lnTo>
                      <a:lnTo>
                        <a:pt x="16384" y="16384"/>
                      </a:lnTo>
                      <a:close/>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TextBox 264"/>
                <xdr:cNvSpPr txBox="1">
                  <a:spLocks noChangeArrowheads="1"/>
                </xdr:cNvSpPr>
              </xdr:nvSpPr>
              <xdr:spPr>
                <a:xfrm>
                  <a:off x="694" y="162"/>
                  <a:ext cx="45" cy="17"/>
                </a:xfrm>
                <a:prstGeom prst="rect">
                  <a:avLst/>
                </a:prstGeom>
                <a:noFill/>
                <a:ln w="6350" cmpd="sng">
                  <a:noFill/>
                </a:ln>
              </xdr:spPr>
              <xdr:txBody>
                <a:bodyPr vertOverflow="clip" wrap="square"/>
                <a:p>
                  <a:pPr algn="ctr">
                    <a:defRPr/>
                  </a:pPr>
                  <a:r>
                    <a:rPr lang="en-US" cap="none" sz="700" b="0" i="0" u="none" baseline="0"/>
                    <a:t>NdeT</a:t>
                  </a:r>
                </a:p>
              </xdr:txBody>
            </xdr:sp>
            <xdr:sp>
              <xdr:nvSpPr>
                <xdr:cNvPr id="116" name="Line 265"/>
                <xdr:cNvSpPr>
                  <a:spLocks/>
                </xdr:cNvSpPr>
              </xdr:nvSpPr>
              <xdr:spPr>
                <a:xfrm>
                  <a:off x="696" y="155"/>
                  <a:ext cx="0" cy="2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266"/>
                <xdr:cNvSpPr>
                  <a:spLocks/>
                </xdr:cNvSpPr>
              </xdr:nvSpPr>
              <xdr:spPr>
                <a:xfrm>
                  <a:off x="734" y="160"/>
                  <a:ext cx="0" cy="22"/>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grpSp>
    <xdr:clientData/>
  </xdr:twoCellAnchor>
  <xdr:twoCellAnchor>
    <xdr:from>
      <xdr:col>0</xdr:col>
      <xdr:colOff>152400</xdr:colOff>
      <xdr:row>17</xdr:row>
      <xdr:rowOff>76200</xdr:rowOff>
    </xdr:from>
    <xdr:to>
      <xdr:col>14</xdr:col>
      <xdr:colOff>390525</xdr:colOff>
      <xdr:row>19</xdr:row>
      <xdr:rowOff>57150</xdr:rowOff>
    </xdr:to>
    <xdr:sp>
      <xdr:nvSpPr>
        <xdr:cNvPr id="118" name="Texte 32"/>
        <xdr:cNvSpPr txBox="1">
          <a:spLocks noChangeArrowheads="1"/>
        </xdr:cNvSpPr>
      </xdr:nvSpPr>
      <xdr:spPr>
        <a:xfrm>
          <a:off x="152400" y="2981325"/>
          <a:ext cx="8410575" cy="3048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De manière général le repos d'appui Nde est défini comme le déplacement différentiel maximal qui permette de conserver l'équilibre du tablier sur son appui.</a:t>
          </a:r>
        </a:p>
      </xdr:txBody>
    </xdr:sp>
    <xdr:clientData/>
  </xdr:twoCellAnchor>
  <xdr:twoCellAnchor>
    <xdr:from>
      <xdr:col>0</xdr:col>
      <xdr:colOff>152400</xdr:colOff>
      <xdr:row>72</xdr:row>
      <xdr:rowOff>9525</xdr:rowOff>
    </xdr:from>
    <xdr:to>
      <xdr:col>14</xdr:col>
      <xdr:colOff>390525</xdr:colOff>
      <xdr:row>77</xdr:row>
      <xdr:rowOff>104775</xdr:rowOff>
    </xdr:to>
    <xdr:sp>
      <xdr:nvSpPr>
        <xdr:cNvPr id="119" name="Texte 32"/>
        <xdr:cNvSpPr txBox="1">
          <a:spLocks noChangeArrowheads="1"/>
        </xdr:cNvSpPr>
      </xdr:nvSpPr>
      <xdr:spPr>
        <a:xfrm>
          <a:off x="152400" y="8439150"/>
          <a:ext cx="8410575" cy="9048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Pour renseigner le tableau précédent:
- en général, la hauteur qui doit être attribuée aux culées est h = 0.
- si la configuration longitudinale est de type 1, il n'est pas nécessaire de renseigner NdeL.
- si des butées longitudinales empêchent un échappement, ne pas renseigner NdeL pour l'appui concerné, quelle que soit la configuration (type 2 ou 3).
- si transversalement le tablier est bloqué sur un appui par des butées transversales, ne pas rensigner NdeT.</a:t>
          </a:r>
        </a:p>
      </xdr:txBody>
    </xdr:sp>
    <xdr:clientData/>
  </xdr:twoCellAnchor>
  <xdr:twoCellAnchor>
    <xdr:from>
      <xdr:col>0</xdr:col>
      <xdr:colOff>152400</xdr:colOff>
      <xdr:row>91</xdr:row>
      <xdr:rowOff>114300</xdr:rowOff>
    </xdr:from>
    <xdr:to>
      <xdr:col>11</xdr:col>
      <xdr:colOff>200025</xdr:colOff>
      <xdr:row>97</xdr:row>
      <xdr:rowOff>57150</xdr:rowOff>
    </xdr:to>
    <xdr:sp>
      <xdr:nvSpPr>
        <xdr:cNvPr id="120" name="Texte 32"/>
        <xdr:cNvSpPr txBox="1">
          <a:spLocks noChangeArrowheads="1"/>
        </xdr:cNvSpPr>
      </xdr:nvSpPr>
      <xdr:spPr>
        <a:xfrm>
          <a:off x="152400" y="11544300"/>
          <a:ext cx="6477000" cy="914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On considère que l'ouvrage présente une </a:t>
          </a:r>
          <a:r>
            <a:rPr lang="en-US" cap="none" sz="900" b="0" i="0" u="none" baseline="0">
              <a:solidFill>
                <a:srgbClr val="0000FF"/>
              </a:solidFill>
              <a:latin typeface="Arial"/>
              <a:ea typeface="Arial"/>
              <a:cs typeface="Arial"/>
            </a:rPr>
            <a:t>forte dissymérie</a:t>
          </a:r>
          <a:r>
            <a:rPr lang="en-US" cap="none" sz="900" b="0" i="0" u="none" baseline="0">
              <a:latin typeface="Arial"/>
              <a:ea typeface="Arial"/>
              <a:cs typeface="Arial"/>
            </a:rPr>
            <a:t> en élévation dans les conditions suivantes :
  - forte dissymétrie dans les raideurs des piles, dues à de fortes disparités de hauteur, de section, d'inertie ou lorsque le type de pile n'est pas le même aux deux abouts;
  - forte dissymétrie dans le fonctionnement transversal (par exemple un blocage transversal par butée ou appui fixe sur une culée et pas sur l'autre...)</a:t>
          </a:r>
        </a:p>
      </xdr:txBody>
    </xdr:sp>
    <xdr:clientData/>
  </xdr:twoCellAnchor>
  <xdr:twoCellAnchor>
    <xdr:from>
      <xdr:col>0</xdr:col>
      <xdr:colOff>152400</xdr:colOff>
      <xdr:row>101</xdr:row>
      <xdr:rowOff>114300</xdr:rowOff>
    </xdr:from>
    <xdr:to>
      <xdr:col>11</xdr:col>
      <xdr:colOff>200025</xdr:colOff>
      <xdr:row>104</xdr:row>
      <xdr:rowOff>85725</xdr:rowOff>
    </xdr:to>
    <xdr:sp>
      <xdr:nvSpPr>
        <xdr:cNvPr id="121" name="Texte 32"/>
        <xdr:cNvSpPr txBox="1">
          <a:spLocks noChangeArrowheads="1"/>
        </xdr:cNvSpPr>
      </xdr:nvSpPr>
      <xdr:spPr>
        <a:xfrm>
          <a:off x="152400" y="13258800"/>
          <a:ext cx="6477000" cy="4572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Si le rayon de courbure n'est pas constant, indiquer le rayon qui règne sur la plus grande partie de l'ouvrage.
Si l'ouvrage est droit, ne pas renseigner cette donnée.</a:t>
          </a:r>
        </a:p>
      </xdr:txBody>
    </xdr:sp>
    <xdr:clientData/>
  </xdr:twoCellAnchor>
  <xdr:twoCellAnchor>
    <xdr:from>
      <xdr:col>0</xdr:col>
      <xdr:colOff>152400</xdr:colOff>
      <xdr:row>116</xdr:row>
      <xdr:rowOff>76200</xdr:rowOff>
    </xdr:from>
    <xdr:to>
      <xdr:col>5</xdr:col>
      <xdr:colOff>85725</xdr:colOff>
      <xdr:row>119</xdr:row>
      <xdr:rowOff>47625</xdr:rowOff>
    </xdr:to>
    <xdr:sp>
      <xdr:nvSpPr>
        <xdr:cNvPr id="122" name="Texte 32"/>
        <xdr:cNvSpPr txBox="1">
          <a:spLocks noChangeArrowheads="1"/>
        </xdr:cNvSpPr>
      </xdr:nvSpPr>
      <xdr:spPr>
        <a:xfrm>
          <a:off x="152400" y="15735300"/>
          <a:ext cx="2876550" cy="4572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Si l'ouvrage présente plusieurs types d'appareils d'appui, indiquer celui qui est le plus sensible.
Si l'ouvrage est droit, ne pas renseigner cette donnée.</a:t>
          </a:r>
        </a:p>
      </xdr:txBody>
    </xdr:sp>
    <xdr:clientData/>
  </xdr:twoCellAnchor>
  <xdr:twoCellAnchor>
    <xdr:from>
      <xdr:col>0</xdr:col>
      <xdr:colOff>152400</xdr:colOff>
      <xdr:row>124</xdr:row>
      <xdr:rowOff>142875</xdr:rowOff>
    </xdr:from>
    <xdr:to>
      <xdr:col>11</xdr:col>
      <xdr:colOff>200025</xdr:colOff>
      <xdr:row>129</xdr:row>
      <xdr:rowOff>95250</xdr:rowOff>
    </xdr:to>
    <xdr:sp>
      <xdr:nvSpPr>
        <xdr:cNvPr id="123" name="Texte 32"/>
        <xdr:cNvSpPr txBox="1">
          <a:spLocks noChangeArrowheads="1"/>
        </xdr:cNvSpPr>
      </xdr:nvSpPr>
      <xdr:spPr>
        <a:xfrm>
          <a:off x="152400" y="17097375"/>
          <a:ext cx="6477000" cy="7620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Le tablier est considéré comme </a:t>
          </a:r>
          <a:r>
            <a:rPr lang="en-US" cap="none" sz="900" b="0" i="0" u="none" baseline="0">
              <a:solidFill>
                <a:srgbClr val="0000FF"/>
              </a:solidFill>
              <a:latin typeface="Arial"/>
              <a:ea typeface="Arial"/>
              <a:cs typeface="Arial"/>
            </a:rPr>
            <a:t>souple</a:t>
          </a:r>
          <a:r>
            <a:rPr lang="en-US" cap="none" sz="900" b="0" i="0" u="none" baseline="0">
              <a:latin typeface="Arial"/>
              <a:ea typeface="Arial"/>
              <a:cs typeface="Arial"/>
            </a:rPr>
            <a:t> s'il est capable d'encaisser des déformations telles que la rupture d'un appareil d'appui ne va pas lui occasionner de désordres trop importants. Il est </a:t>
          </a:r>
          <a:r>
            <a:rPr lang="en-US" cap="none" sz="900" b="0" i="0" u="none" baseline="0">
              <a:solidFill>
                <a:srgbClr val="0000FF"/>
              </a:solidFill>
              <a:latin typeface="Arial"/>
              <a:ea typeface="Arial"/>
              <a:cs typeface="Arial"/>
            </a:rPr>
            <a:t>rigide</a:t>
          </a:r>
          <a:r>
            <a:rPr lang="en-US" cap="none" sz="900" b="0" i="0" u="none" baseline="0">
              <a:latin typeface="Arial"/>
              <a:ea typeface="Arial"/>
              <a:cs typeface="Arial"/>
            </a:rPr>
            <a:t> dans le cas contraire.
En général, les structures métalliques et mixtes (bipoutre ou caisson) sont souples. Les poutres en béton continues sont rigides. Les poutres en béton isostatiques (2 appuis) sont souples.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30</xdr:row>
      <xdr:rowOff>47625</xdr:rowOff>
    </xdr:from>
    <xdr:to>
      <xdr:col>10</xdr:col>
      <xdr:colOff>323850</xdr:colOff>
      <xdr:row>38</xdr:row>
      <xdr:rowOff>114300</xdr:rowOff>
    </xdr:to>
    <xdr:sp>
      <xdr:nvSpPr>
        <xdr:cNvPr id="1" name="Texte 32"/>
        <xdr:cNvSpPr txBox="1">
          <a:spLocks noChangeArrowheads="1"/>
        </xdr:cNvSpPr>
      </xdr:nvSpPr>
      <xdr:spPr>
        <a:xfrm>
          <a:off x="476250" y="4981575"/>
          <a:ext cx="6172200" cy="13620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Les </a:t>
          </a:r>
          <a:r>
            <a:rPr lang="en-US" cap="none" sz="900" b="0" i="0" u="none" baseline="0">
              <a:solidFill>
                <a:srgbClr val="0000FF"/>
              </a:solidFill>
              <a:latin typeface="Arial"/>
              <a:ea typeface="Arial"/>
              <a:cs typeface="Arial"/>
            </a:rPr>
            <a:t>culées sur talus</a:t>
          </a:r>
          <a:r>
            <a:rPr lang="en-US" cap="none" sz="900" b="0" i="0" u="none" baseline="0">
              <a:latin typeface="Arial"/>
              <a:ea typeface="Arial"/>
              <a:cs typeface="Arial"/>
            </a:rPr>
            <a:t> peuvent être fondées sur pieux traversant le remblai ou sur voiles enterrés.
De même les fondations des </a:t>
          </a:r>
          <a:r>
            <a:rPr lang="en-US" cap="none" sz="900" b="0" i="0" u="none" baseline="0">
              <a:solidFill>
                <a:srgbClr val="0000FF"/>
              </a:solidFill>
              <a:latin typeface="Arial"/>
              <a:ea typeface="Arial"/>
              <a:cs typeface="Arial"/>
            </a:rPr>
            <a:t>culées creuses</a:t>
          </a:r>
          <a:r>
            <a:rPr lang="en-US" cap="none" sz="900" b="0" i="0" u="none" baseline="0">
              <a:latin typeface="Arial"/>
              <a:ea typeface="Arial"/>
              <a:cs typeface="Arial"/>
            </a:rPr>
            <a:t> peuvent être quelconques.
Parmi les culées à </a:t>
          </a:r>
          <a:r>
            <a:rPr lang="en-US" cap="none" sz="900" b="0" i="0" u="none" baseline="0">
              <a:solidFill>
                <a:srgbClr val="0000FF"/>
              </a:solidFill>
              <a:latin typeface="Arial"/>
              <a:ea typeface="Arial"/>
              <a:cs typeface="Arial"/>
            </a:rPr>
            <a:t>mur de front</a:t>
          </a:r>
          <a:r>
            <a:rPr lang="en-US" cap="none" sz="900" b="0" i="0" u="none" baseline="0">
              <a:latin typeface="Arial"/>
              <a:ea typeface="Arial"/>
              <a:cs typeface="Arial"/>
            </a:rPr>
            <a:t>, on distingue des sous-types selon la nature du mur :
     - mur de front de type "poids", 
     - mur de front de type voile en "béton armé", 
     - mur de front de type "terre armée".
Dans le cas où plusieurs types de culées sont présentes sur le même ouvrage, on choisit la plus vulnérable.</a:t>
          </a:r>
        </a:p>
      </xdr:txBody>
    </xdr:sp>
    <xdr:clientData/>
  </xdr:twoCellAnchor>
  <xdr:twoCellAnchor>
    <xdr:from>
      <xdr:col>0</xdr:col>
      <xdr:colOff>152400</xdr:colOff>
      <xdr:row>56</xdr:row>
      <xdr:rowOff>66675</xdr:rowOff>
    </xdr:from>
    <xdr:to>
      <xdr:col>5</xdr:col>
      <xdr:colOff>504825</xdr:colOff>
      <xdr:row>59</xdr:row>
      <xdr:rowOff>28575</xdr:rowOff>
    </xdr:to>
    <xdr:sp>
      <xdr:nvSpPr>
        <xdr:cNvPr id="2" name="Texte 32"/>
        <xdr:cNvSpPr txBox="1">
          <a:spLocks noChangeArrowheads="1"/>
        </xdr:cNvSpPr>
      </xdr:nvSpPr>
      <xdr:spPr>
        <a:xfrm>
          <a:off x="152400" y="9401175"/>
          <a:ext cx="3705225" cy="4476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Cette question concerne la présence d'éventuels murs en aile ou en retour et le cas échéant, leur type.</a:t>
          </a:r>
        </a:p>
      </xdr:txBody>
    </xdr:sp>
    <xdr:clientData/>
  </xdr:twoCellAnchor>
  <xdr:twoCellAnchor editAs="oneCell">
    <xdr:from>
      <xdr:col>0</xdr:col>
      <xdr:colOff>47625</xdr:colOff>
      <xdr:row>6</xdr:row>
      <xdr:rowOff>66675</xdr:rowOff>
    </xdr:from>
    <xdr:to>
      <xdr:col>21</xdr:col>
      <xdr:colOff>76200</xdr:colOff>
      <xdr:row>25</xdr:row>
      <xdr:rowOff>95250</xdr:rowOff>
    </xdr:to>
    <xdr:pic>
      <xdr:nvPicPr>
        <xdr:cNvPr id="3" name="Picture 103"/>
        <xdr:cNvPicPr preferRelativeResize="1">
          <a:picLocks noChangeAspect="1"/>
        </xdr:cNvPicPr>
      </xdr:nvPicPr>
      <xdr:blipFill>
        <a:blip r:embed="rId1"/>
        <a:stretch>
          <a:fillRect/>
        </a:stretch>
      </xdr:blipFill>
      <xdr:spPr>
        <a:xfrm>
          <a:off x="47625" y="1200150"/>
          <a:ext cx="6877050" cy="3105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104775</xdr:rowOff>
    </xdr:from>
    <xdr:to>
      <xdr:col>10</xdr:col>
      <xdr:colOff>314325</xdr:colOff>
      <xdr:row>11</xdr:row>
      <xdr:rowOff>38100</xdr:rowOff>
    </xdr:to>
    <xdr:sp>
      <xdr:nvSpPr>
        <xdr:cNvPr id="1" name="Texte 32"/>
        <xdr:cNvSpPr txBox="1">
          <a:spLocks noChangeArrowheads="1"/>
        </xdr:cNvSpPr>
      </xdr:nvSpPr>
      <xdr:spPr>
        <a:xfrm>
          <a:off x="142875" y="1076325"/>
          <a:ext cx="5410200" cy="9048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Pour chaque appui de l'ouvrage, on renseigne le type de liaison entre l'appui et le tablier. Ces liaisons peuvent, dans chacune des directions longitudinale et transversale, être des types suivants :
 - type </a:t>
          </a:r>
          <a:r>
            <a:rPr lang="en-US" cap="none" sz="900" b="0" i="0" u="none" baseline="0">
              <a:solidFill>
                <a:srgbClr val="0000FF"/>
              </a:solidFill>
              <a:latin typeface="Arial"/>
              <a:ea typeface="Arial"/>
              <a:cs typeface="Arial"/>
            </a:rPr>
            <a:t>liaison</a:t>
          </a:r>
          <a:r>
            <a:rPr lang="en-US" cap="none" sz="900" b="0" i="0" u="none" baseline="0">
              <a:latin typeface="Arial"/>
              <a:ea typeface="Arial"/>
              <a:cs typeface="Arial"/>
            </a:rPr>
            <a:t> </a:t>
          </a:r>
          <a:r>
            <a:rPr lang="en-US" cap="none" sz="900" b="0" i="0" u="none" baseline="0">
              <a:solidFill>
                <a:srgbClr val="0000FF"/>
              </a:solidFill>
              <a:latin typeface="Arial"/>
              <a:ea typeface="Arial"/>
              <a:cs typeface="Arial"/>
            </a:rPr>
            <a:t>fixe</a:t>
          </a:r>
          <a:r>
            <a:rPr lang="en-US" cap="none" sz="900" b="0" i="0" u="none" baseline="0">
              <a:latin typeface="Arial"/>
              <a:ea typeface="Arial"/>
              <a:cs typeface="Arial"/>
            </a:rPr>
            <a:t> "F": appareil d'appui fixe, butées, appareil ne permettant que des rotations ... ;
 - type </a:t>
          </a:r>
          <a:r>
            <a:rPr lang="en-US" cap="none" sz="900" b="0" i="0" u="none" baseline="0">
              <a:solidFill>
                <a:srgbClr val="0000FF"/>
              </a:solidFill>
              <a:latin typeface="Arial"/>
              <a:ea typeface="Arial"/>
              <a:cs typeface="Arial"/>
            </a:rPr>
            <a:t>liaison élastique</a:t>
          </a:r>
          <a:r>
            <a:rPr lang="en-US" cap="none" sz="900" b="0" i="0" u="none" baseline="0">
              <a:latin typeface="Arial"/>
              <a:ea typeface="Arial"/>
              <a:cs typeface="Arial"/>
            </a:rPr>
            <a:t> "E": appareil d'appui en élastomère fretté ;
 - type </a:t>
          </a:r>
          <a:r>
            <a:rPr lang="en-US" cap="none" sz="900" b="0" i="0" u="none" baseline="0">
              <a:solidFill>
                <a:srgbClr val="0000FF"/>
              </a:solidFill>
              <a:latin typeface="Arial"/>
              <a:ea typeface="Arial"/>
              <a:cs typeface="Arial"/>
            </a:rPr>
            <a:t>liaison glissante</a:t>
          </a:r>
          <a:r>
            <a:rPr lang="en-US" cap="none" sz="900" b="0" i="0" u="none" baseline="0">
              <a:latin typeface="Arial"/>
              <a:ea typeface="Arial"/>
              <a:cs typeface="Arial"/>
            </a:rPr>
            <a:t> "G": appareil d'appui glissant...
</a:t>
          </a:r>
        </a:p>
      </xdr:txBody>
    </xdr:sp>
    <xdr:clientData/>
  </xdr:twoCellAnchor>
  <xdr:twoCellAnchor>
    <xdr:from>
      <xdr:col>0</xdr:col>
      <xdr:colOff>152400</xdr:colOff>
      <xdr:row>49</xdr:row>
      <xdr:rowOff>104775</xdr:rowOff>
    </xdr:from>
    <xdr:to>
      <xdr:col>6</xdr:col>
      <xdr:colOff>152400</xdr:colOff>
      <xdr:row>53</xdr:row>
      <xdr:rowOff>66675</xdr:rowOff>
    </xdr:to>
    <xdr:sp>
      <xdr:nvSpPr>
        <xdr:cNvPr id="2" name="Texte 32"/>
        <xdr:cNvSpPr txBox="1">
          <a:spLocks noChangeArrowheads="1"/>
        </xdr:cNvSpPr>
      </xdr:nvSpPr>
      <xdr:spPr>
        <a:xfrm>
          <a:off x="152400" y="5057775"/>
          <a:ext cx="3143250" cy="6096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En général, on peut considérer que les tablier métalliques ou mixtes sont </a:t>
          </a:r>
          <a:r>
            <a:rPr lang="en-US" cap="none" sz="900" b="0" i="0" u="none" baseline="0">
              <a:solidFill>
                <a:srgbClr val="0000FF"/>
              </a:solidFill>
              <a:latin typeface="Arial"/>
              <a:ea typeface="Arial"/>
              <a:cs typeface="Arial"/>
            </a:rPr>
            <a:t>légers,</a:t>
          </a:r>
          <a:r>
            <a:rPr lang="en-US" cap="none" sz="900" b="0" i="0" u="none" baseline="0">
              <a:latin typeface="Arial"/>
              <a:ea typeface="Arial"/>
              <a:cs typeface="Arial"/>
            </a:rPr>
            <a:t> et les tabliers en béton armé ou précontraint sont </a:t>
          </a:r>
          <a:r>
            <a:rPr lang="en-US" cap="none" sz="900" b="0" i="0" u="none" baseline="0">
              <a:solidFill>
                <a:srgbClr val="0000FF"/>
              </a:solidFill>
              <a:latin typeface="Arial"/>
              <a:ea typeface="Arial"/>
              <a:cs typeface="Arial"/>
            </a:rPr>
            <a:t>lourds</a:t>
          </a:r>
          <a:r>
            <a:rPr lang="en-US" cap="none" sz="9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5</xdr:row>
      <xdr:rowOff>104775</xdr:rowOff>
    </xdr:from>
    <xdr:to>
      <xdr:col>7</xdr:col>
      <xdr:colOff>209550</xdr:colOff>
      <xdr:row>12</xdr:row>
      <xdr:rowOff>38100</xdr:rowOff>
    </xdr:to>
    <xdr:sp>
      <xdr:nvSpPr>
        <xdr:cNvPr id="1" name="Texte 32"/>
        <xdr:cNvSpPr txBox="1">
          <a:spLocks noChangeArrowheads="1"/>
        </xdr:cNvSpPr>
      </xdr:nvSpPr>
      <xdr:spPr>
        <a:xfrm>
          <a:off x="333375" y="1076325"/>
          <a:ext cx="3505200" cy="10668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On considère que les </a:t>
          </a:r>
          <a:r>
            <a:rPr lang="en-US" cap="none" sz="900" b="0" i="0" u="none" baseline="0">
              <a:solidFill>
                <a:srgbClr val="0000FF"/>
              </a:solidFill>
              <a:latin typeface="Arial"/>
              <a:ea typeface="Arial"/>
              <a:cs typeface="Arial"/>
            </a:rPr>
            <a:t>fondations</a:t>
          </a:r>
          <a:r>
            <a:rPr lang="en-US" cap="none" sz="900" b="0" i="0" u="none" baseline="0">
              <a:latin typeface="Arial"/>
              <a:ea typeface="Arial"/>
              <a:cs typeface="Arial"/>
            </a:rPr>
            <a:t> sont </a:t>
          </a:r>
          <a:r>
            <a:rPr lang="en-US" cap="none" sz="900" b="0" i="0" u="none" baseline="0">
              <a:solidFill>
                <a:srgbClr val="0000FF"/>
              </a:solidFill>
              <a:latin typeface="Arial"/>
              <a:ea typeface="Arial"/>
              <a:cs typeface="Arial"/>
            </a:rPr>
            <a:t>profondes</a:t>
          </a:r>
          <a:r>
            <a:rPr lang="en-US" cap="none" sz="900" b="0" i="0" u="none" baseline="0">
              <a:latin typeface="Arial"/>
              <a:ea typeface="Arial"/>
              <a:cs typeface="Arial"/>
            </a:rPr>
            <a:t> si la hauteur des pieux dépasse 10 m.
Dans le cas, où sur un même ouvrage, on rencontre différents types de fondations, on choisira le type de fondations le plus vulnérable (les </a:t>
          </a:r>
          <a:r>
            <a:rPr lang="en-US" cap="none" sz="900" b="0" i="0" u="none" baseline="0">
              <a:solidFill>
                <a:srgbClr val="0000FF"/>
              </a:solidFill>
              <a:latin typeface="Arial"/>
              <a:ea typeface="Arial"/>
              <a:cs typeface="Arial"/>
            </a:rPr>
            <a:t>fondations</a:t>
          </a:r>
          <a:r>
            <a:rPr lang="en-US" cap="none" sz="900" b="0" i="0" u="none" baseline="0">
              <a:latin typeface="Arial"/>
              <a:ea typeface="Arial"/>
              <a:cs typeface="Arial"/>
            </a:rPr>
            <a:t> </a:t>
          </a:r>
          <a:r>
            <a:rPr lang="en-US" cap="none" sz="900" b="0" i="0" u="none" baseline="0">
              <a:solidFill>
                <a:srgbClr val="0000FF"/>
              </a:solidFill>
              <a:latin typeface="Arial"/>
              <a:ea typeface="Arial"/>
              <a:cs typeface="Arial"/>
            </a:rPr>
            <a:t>superficielles</a:t>
          </a:r>
          <a:r>
            <a:rPr lang="en-US" cap="none" sz="900" b="0" i="0" u="none" baseline="0">
              <a:latin typeface="Arial"/>
              <a:ea typeface="Arial"/>
              <a:cs typeface="Arial"/>
            </a:rPr>
            <a:t> étant les plus vulnérables et les </a:t>
          </a:r>
          <a:r>
            <a:rPr lang="en-US" cap="none" sz="900" b="0" i="0" u="none" baseline="0">
              <a:solidFill>
                <a:srgbClr val="0000FF"/>
              </a:solidFill>
              <a:latin typeface="Arial"/>
              <a:ea typeface="Arial"/>
              <a:cs typeface="Arial"/>
            </a:rPr>
            <a:t>fondations</a:t>
          </a:r>
          <a:r>
            <a:rPr lang="en-US" cap="none" sz="900" b="0" i="0" u="none" baseline="0">
              <a:latin typeface="Arial"/>
              <a:ea typeface="Arial"/>
              <a:cs typeface="Arial"/>
            </a:rPr>
            <a:t> </a:t>
          </a:r>
          <a:r>
            <a:rPr lang="en-US" cap="none" sz="900" b="0" i="0" u="none" baseline="0">
              <a:solidFill>
                <a:srgbClr val="0000FF"/>
              </a:solidFill>
              <a:latin typeface="Arial"/>
              <a:ea typeface="Arial"/>
              <a:cs typeface="Arial"/>
            </a:rPr>
            <a:t>profondes</a:t>
          </a:r>
          <a:r>
            <a:rPr lang="en-US" cap="none" sz="900" b="0" i="0" u="none" baseline="0">
              <a:latin typeface="Arial"/>
              <a:ea typeface="Arial"/>
              <a:cs typeface="Arial"/>
            </a:rPr>
            <a:t> les moins vulnérables).</a:t>
          </a:r>
        </a:p>
      </xdr:txBody>
    </xdr:sp>
    <xdr:clientData/>
  </xdr:twoCellAnchor>
  <xdr:twoCellAnchor>
    <xdr:from>
      <xdr:col>0</xdr:col>
      <xdr:colOff>333375</xdr:colOff>
      <xdr:row>13</xdr:row>
      <xdr:rowOff>123825</xdr:rowOff>
    </xdr:from>
    <xdr:to>
      <xdr:col>7</xdr:col>
      <xdr:colOff>209550</xdr:colOff>
      <xdr:row>15</xdr:row>
      <xdr:rowOff>114300</xdr:rowOff>
    </xdr:to>
    <xdr:sp>
      <xdr:nvSpPr>
        <xdr:cNvPr id="2" name="Texte 32"/>
        <xdr:cNvSpPr txBox="1">
          <a:spLocks noChangeArrowheads="1"/>
        </xdr:cNvSpPr>
      </xdr:nvSpPr>
      <xdr:spPr>
        <a:xfrm>
          <a:off x="333375" y="2266950"/>
          <a:ext cx="3505200" cy="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L'indication </a:t>
          </a:r>
          <a:r>
            <a:rPr lang="en-US" cap="none" sz="900" b="0" i="0" u="none" baseline="0">
              <a:solidFill>
                <a:srgbClr val="0000FF"/>
              </a:solidFill>
              <a:latin typeface="Arial"/>
              <a:ea typeface="Arial"/>
              <a:cs typeface="Arial"/>
            </a:rPr>
            <a:t>pieux tubés</a:t>
          </a:r>
          <a:r>
            <a:rPr lang="en-US" cap="none" sz="900" b="0" i="0" u="none" baseline="0">
              <a:latin typeface="Arial"/>
              <a:ea typeface="Arial"/>
              <a:cs typeface="Arial"/>
            </a:rPr>
            <a:t> réduit la vulnérabilité au glissement</a:t>
          </a:r>
        </a:p>
      </xdr:txBody>
    </xdr:sp>
    <xdr:clientData/>
  </xdr:twoCellAnchor>
  <xdr:twoCellAnchor>
    <xdr:from>
      <xdr:col>0</xdr:col>
      <xdr:colOff>333375</xdr:colOff>
      <xdr:row>26</xdr:row>
      <xdr:rowOff>38100</xdr:rowOff>
    </xdr:from>
    <xdr:to>
      <xdr:col>7</xdr:col>
      <xdr:colOff>209550</xdr:colOff>
      <xdr:row>31</xdr:row>
      <xdr:rowOff>19050</xdr:rowOff>
    </xdr:to>
    <xdr:sp>
      <xdr:nvSpPr>
        <xdr:cNvPr id="3" name="Texte 32"/>
        <xdr:cNvSpPr txBox="1">
          <a:spLocks noChangeArrowheads="1"/>
        </xdr:cNvSpPr>
      </xdr:nvSpPr>
      <xdr:spPr>
        <a:xfrm>
          <a:off x="333375" y="3971925"/>
          <a:ext cx="3505200" cy="7905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La présence de </a:t>
          </a:r>
          <a:r>
            <a:rPr lang="en-US" cap="none" sz="900" b="0" i="0" u="none" baseline="0">
              <a:solidFill>
                <a:srgbClr val="0000FF"/>
              </a:solidFill>
              <a:latin typeface="Arial"/>
              <a:ea typeface="Arial"/>
              <a:cs typeface="Arial"/>
            </a:rPr>
            <a:t>dispositifs de protection</a:t>
          </a:r>
          <a:r>
            <a:rPr lang="en-US" cap="none" sz="900" b="0" i="0" u="none" baseline="0">
              <a:latin typeface="Arial"/>
              <a:ea typeface="Arial"/>
              <a:cs typeface="Arial"/>
            </a:rPr>
            <a:t> diminue la vulnérabilité de l'ouvrage aux </a:t>
          </a:r>
          <a:r>
            <a:rPr lang="en-US" cap="none" sz="900" b="0" i="0" u="none" baseline="0">
              <a:solidFill>
                <a:srgbClr val="0000FF"/>
              </a:solidFill>
              <a:latin typeface="Arial"/>
              <a:ea typeface="Arial"/>
              <a:cs typeface="Arial"/>
            </a:rPr>
            <a:t>chutes de blocs</a:t>
          </a:r>
          <a:r>
            <a:rPr lang="en-US" cap="none" sz="900" b="0" i="0" u="none" baseline="0">
              <a:latin typeface="Arial"/>
              <a:ea typeface="Arial"/>
              <a:cs typeface="Arial"/>
            </a:rPr>
            <a:t>.
On distingue plusieurs dispositifs (du moins protecteur au plus protecteur).
</a:t>
          </a:r>
        </a:p>
      </xdr:txBody>
    </xdr:sp>
    <xdr:clientData/>
  </xdr:twoCellAnchor>
  <xdr:twoCellAnchor>
    <xdr:from>
      <xdr:col>0</xdr:col>
      <xdr:colOff>285750</xdr:colOff>
      <xdr:row>52</xdr:row>
      <xdr:rowOff>47625</xdr:rowOff>
    </xdr:from>
    <xdr:to>
      <xdr:col>7</xdr:col>
      <xdr:colOff>161925</xdr:colOff>
      <xdr:row>54</xdr:row>
      <xdr:rowOff>152400</xdr:rowOff>
    </xdr:to>
    <xdr:sp>
      <xdr:nvSpPr>
        <xdr:cNvPr id="4" name="Texte 32"/>
        <xdr:cNvSpPr txBox="1">
          <a:spLocks noChangeArrowheads="1"/>
        </xdr:cNvSpPr>
      </xdr:nvSpPr>
      <xdr:spPr>
        <a:xfrm>
          <a:off x="285750" y="8286750"/>
          <a:ext cx="3505200" cy="4286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La configuration des piles influe sur le comportement de l'ouvrage en cas de chute de blocs.
</a:t>
          </a:r>
        </a:p>
      </xdr:txBody>
    </xdr:sp>
    <xdr:clientData/>
  </xdr:twoCellAnchor>
  <xdr:twoCellAnchor>
    <xdr:from>
      <xdr:col>7</xdr:col>
      <xdr:colOff>323850</xdr:colOff>
      <xdr:row>56</xdr:row>
      <xdr:rowOff>66675</xdr:rowOff>
    </xdr:from>
    <xdr:to>
      <xdr:col>10</xdr:col>
      <xdr:colOff>619125</xdr:colOff>
      <xdr:row>60</xdr:row>
      <xdr:rowOff>28575</xdr:rowOff>
    </xdr:to>
    <xdr:grpSp>
      <xdr:nvGrpSpPr>
        <xdr:cNvPr id="5" name="Group 33"/>
        <xdr:cNvGrpSpPr>
          <a:grpSpLocks/>
        </xdr:cNvGrpSpPr>
      </xdr:nvGrpSpPr>
      <xdr:grpSpPr>
        <a:xfrm>
          <a:off x="3952875" y="8724900"/>
          <a:ext cx="1790700" cy="0"/>
          <a:chOff x="408" y="991"/>
          <a:chExt cx="178" cy="64"/>
        </a:xfrm>
        <a:solidFill>
          <a:srgbClr val="FFFFFF"/>
        </a:solidFill>
      </xdr:grpSpPr>
    </xdr:grpSp>
    <xdr:clientData/>
  </xdr:twoCellAnchor>
  <xdr:twoCellAnchor>
    <xdr:from>
      <xdr:col>7</xdr:col>
      <xdr:colOff>323850</xdr:colOff>
      <xdr:row>61</xdr:row>
      <xdr:rowOff>0</xdr:rowOff>
    </xdr:from>
    <xdr:to>
      <xdr:col>10</xdr:col>
      <xdr:colOff>619125</xdr:colOff>
      <xdr:row>64</xdr:row>
      <xdr:rowOff>85725</xdr:rowOff>
    </xdr:to>
    <xdr:grpSp>
      <xdr:nvGrpSpPr>
        <xdr:cNvPr id="8" name="Group 34"/>
        <xdr:cNvGrpSpPr>
          <a:grpSpLocks/>
        </xdr:cNvGrpSpPr>
      </xdr:nvGrpSpPr>
      <xdr:grpSpPr>
        <a:xfrm>
          <a:off x="3952875" y="8724900"/>
          <a:ext cx="1790700" cy="0"/>
          <a:chOff x="408" y="1101"/>
          <a:chExt cx="178" cy="62"/>
        </a:xfrm>
        <a:solidFill>
          <a:srgbClr val="FFFFFF"/>
        </a:solidFill>
      </xdr:grpSpPr>
    </xdr:grpSp>
    <xdr:clientData/>
  </xdr:twoCellAnchor>
  <xdr:twoCellAnchor>
    <xdr:from>
      <xdr:col>0</xdr:col>
      <xdr:colOff>285750</xdr:colOff>
      <xdr:row>73</xdr:row>
      <xdr:rowOff>38100</xdr:rowOff>
    </xdr:from>
    <xdr:to>
      <xdr:col>7</xdr:col>
      <xdr:colOff>161925</xdr:colOff>
      <xdr:row>81</xdr:row>
      <xdr:rowOff>95250</xdr:rowOff>
    </xdr:to>
    <xdr:sp>
      <xdr:nvSpPr>
        <xdr:cNvPr id="11" name="Texte 32"/>
        <xdr:cNvSpPr txBox="1">
          <a:spLocks noChangeArrowheads="1"/>
        </xdr:cNvSpPr>
      </xdr:nvSpPr>
      <xdr:spPr>
        <a:xfrm>
          <a:off x="285750" y="9286875"/>
          <a:ext cx="3505200" cy="13525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just">
            <a:defRPr/>
          </a:pPr>
          <a:r>
            <a:rPr lang="en-US" cap="none" sz="900" b="0" i="0" u="none" baseline="0">
              <a:latin typeface="Arial"/>
              <a:ea typeface="Arial"/>
              <a:cs typeface="Arial"/>
            </a:rPr>
            <a:t>Préciser si le tablier est vulnérable aux chutes de blocs ou non. </a:t>
          </a:r>
          <a:r>
            <a:rPr lang="en-US" cap="none" sz="900" b="1" i="0" u="none" baseline="0">
              <a:latin typeface="Arial"/>
              <a:ea typeface="Arial"/>
              <a:cs typeface="Arial"/>
            </a:rPr>
            <a:t>Parmi les tabliers vulnérables</a:t>
          </a:r>
          <a:r>
            <a:rPr lang="en-US" cap="none" sz="900" b="0" i="0" u="none" baseline="0">
              <a:latin typeface="Arial"/>
              <a:ea typeface="Arial"/>
              <a:cs typeface="Arial"/>
            </a:rPr>
            <a:t>, on trouve les dalles&lt;40cm, les bipoutres mixtes, les dalles orthotropes, les treillis métalliques, …
</a:t>
          </a:r>
          <a:r>
            <a:rPr lang="en-US" cap="none" sz="900" b="1" i="0" u="none" baseline="0">
              <a:latin typeface="Arial"/>
              <a:ea typeface="Arial"/>
              <a:cs typeface="Arial"/>
            </a:rPr>
            <a:t>Parmi les tabliers peu vulnérables</a:t>
          </a:r>
          <a:r>
            <a:rPr lang="en-US" cap="none" sz="900" b="0" i="0" u="none" baseline="0">
              <a:latin typeface="Arial"/>
              <a:ea typeface="Arial"/>
              <a:cs typeface="Arial"/>
            </a:rPr>
            <a:t>, on trouve les caissons, les dalles nervurées, les VIPP, les PRAD, les poutrelles enrobées, les ossatures métalliques robustes (multipoutres entretoisées) ...
</a:t>
          </a:r>
        </a:p>
      </xdr:txBody>
    </xdr:sp>
    <xdr:clientData/>
  </xdr:twoCellAnchor>
  <xdr:twoCellAnchor>
    <xdr:from>
      <xdr:col>7</xdr:col>
      <xdr:colOff>371475</xdr:colOff>
      <xdr:row>77</xdr:row>
      <xdr:rowOff>0</xdr:rowOff>
    </xdr:from>
    <xdr:to>
      <xdr:col>11</xdr:col>
      <xdr:colOff>38100</xdr:colOff>
      <xdr:row>80</xdr:row>
      <xdr:rowOff>19050</xdr:rowOff>
    </xdr:to>
    <xdr:grpSp>
      <xdr:nvGrpSpPr>
        <xdr:cNvPr id="12" name="Group 49"/>
        <xdr:cNvGrpSpPr>
          <a:grpSpLocks/>
        </xdr:cNvGrpSpPr>
      </xdr:nvGrpSpPr>
      <xdr:grpSpPr>
        <a:xfrm>
          <a:off x="4000500" y="9896475"/>
          <a:ext cx="1752600" cy="504825"/>
          <a:chOff x="420" y="1362"/>
          <a:chExt cx="188" cy="5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AZ207"/>
  <sheetViews>
    <sheetView tabSelected="1" workbookViewId="0" topLeftCell="A1">
      <pane ySplit="2" topLeftCell="BM77" activePane="bottomLeft" state="frozen"/>
      <selection pane="topLeft" activeCell="A1" sqref="A1"/>
      <selection pane="bottomLeft" activeCell="K89" sqref="K89"/>
    </sheetView>
  </sheetViews>
  <sheetFormatPr defaultColWidth="11.421875" defaultRowHeight="12.75" customHeight="1"/>
  <cols>
    <col min="1" max="1" width="10.57421875" style="29" customWidth="1"/>
    <col min="2" max="3" width="7.8515625" style="29" customWidth="1"/>
    <col min="4" max="4" width="14.8515625" style="29" customWidth="1"/>
    <col min="5" max="6" width="7.8515625" style="29" customWidth="1"/>
    <col min="7" max="7" width="10.28125" style="29" customWidth="1"/>
    <col min="8" max="8" width="11.8515625" style="29" customWidth="1"/>
    <col min="9" max="9" width="10.140625" style="29" customWidth="1"/>
    <col min="10" max="10" width="7.8515625" style="29" customWidth="1"/>
    <col min="11" max="11" width="15.140625" style="29" customWidth="1"/>
    <col min="12" max="15" width="12.7109375" style="5" hidden="1" customWidth="1"/>
    <col min="16" max="28" width="12.7109375" style="5" customWidth="1"/>
    <col min="29" max="52" width="12.7109375" style="0" customWidth="1"/>
    <col min="53" max="16384" width="12.7109375" style="5" customWidth="1"/>
  </cols>
  <sheetData>
    <row r="1" spans="1:52" s="134" customFormat="1" ht="21" customHeight="1" thickTop="1">
      <c r="A1" s="151" t="s">
        <v>218</v>
      </c>
      <c r="B1" s="151" t="s">
        <v>275</v>
      </c>
      <c r="C1" s="151" t="s">
        <v>219</v>
      </c>
      <c r="D1" s="151" t="s">
        <v>220</v>
      </c>
      <c r="E1" s="151" t="s">
        <v>221</v>
      </c>
      <c r="F1" s="241" t="s">
        <v>331</v>
      </c>
      <c r="G1" s="150"/>
      <c r="H1" s="242" t="s">
        <v>332</v>
      </c>
      <c r="I1" s="241" t="s">
        <v>333</v>
      </c>
      <c r="J1" s="242" t="s">
        <v>334</v>
      </c>
      <c r="K1" s="368"/>
      <c r="L1" s="135"/>
      <c r="M1" s="135"/>
      <c r="N1" s="135"/>
      <c r="O1" s="135"/>
      <c r="P1" s="135"/>
      <c r="Q1" s="135"/>
      <c r="AC1"/>
      <c r="AD1"/>
      <c r="AE1"/>
      <c r="AF1"/>
      <c r="AG1"/>
      <c r="AH1"/>
      <c r="AI1"/>
      <c r="AJ1"/>
      <c r="AK1"/>
      <c r="AL1"/>
      <c r="AM1"/>
      <c r="AN1"/>
      <c r="AO1"/>
      <c r="AP1"/>
      <c r="AQ1"/>
      <c r="AR1"/>
      <c r="AS1"/>
      <c r="AT1"/>
      <c r="AU1"/>
      <c r="AV1"/>
      <c r="AW1"/>
      <c r="AX1"/>
      <c r="AY1"/>
      <c r="AZ1"/>
    </row>
    <row r="2" spans="1:52" s="137" customFormat="1" ht="24.75" customHeight="1" thickBot="1">
      <c r="A2" s="153">
        <f>Résumé!$C$5</f>
      </c>
      <c r="B2" s="153" t="str">
        <f>Résumé!$W$24</f>
        <v>-</v>
      </c>
      <c r="C2" s="153">
        <f>Résumé!$W$15</f>
      </c>
      <c r="D2" s="153">
        <f>Résumé!$W$18</f>
      </c>
      <c r="E2" s="153">
        <f>IF(OR(Général!$L$91=2,Général!$L$91=5,Général!$G$100=1)," -",IF(Résumé!$C$16="","",Résumé!$C$16))</f>
        <v>0</v>
      </c>
      <c r="F2" s="243" t="e">
        <f>Général!$N$120</f>
        <v>#VALUE!</v>
      </c>
      <c r="G2" s="152"/>
      <c r="H2" s="243">
        <f>Env!$K$19</f>
        <v>1</v>
      </c>
      <c r="I2" s="243">
        <f>Env!$K$23</f>
        <v>1</v>
      </c>
      <c r="J2" s="244">
        <f>Env!$K$86</f>
        <v>0.7</v>
      </c>
      <c r="K2" s="369"/>
      <c r="L2" s="136"/>
      <c r="M2" s="136"/>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row>
    <row r="3" spans="1:52" s="131" customFormat="1" ht="12.75" customHeight="1" thickTop="1">
      <c r="A3" s="14"/>
      <c r="B3" s="14"/>
      <c r="C3" s="14"/>
      <c r="D3" s="14"/>
      <c r="E3" s="14"/>
      <c r="F3" s="14"/>
      <c r="G3" s="14"/>
      <c r="H3" s="14"/>
      <c r="I3" s="14"/>
      <c r="J3" s="14"/>
      <c r="K3" s="14"/>
      <c r="AC3"/>
      <c r="AD3"/>
      <c r="AE3"/>
      <c r="AF3"/>
      <c r="AG3"/>
      <c r="AH3"/>
      <c r="AI3"/>
      <c r="AJ3"/>
      <c r="AK3"/>
      <c r="AL3"/>
      <c r="AM3"/>
      <c r="AN3"/>
      <c r="AO3"/>
      <c r="AP3"/>
      <c r="AQ3"/>
      <c r="AR3"/>
      <c r="AS3"/>
      <c r="AT3"/>
      <c r="AU3"/>
      <c r="AV3"/>
      <c r="AW3"/>
      <c r="AX3"/>
      <c r="AY3"/>
      <c r="AZ3"/>
    </row>
    <row r="4" spans="1:11" ht="12.75" customHeight="1">
      <c r="A4" s="4"/>
      <c r="B4" s="4"/>
      <c r="C4" s="4"/>
      <c r="D4" s="4"/>
      <c r="E4" s="4"/>
      <c r="F4" s="4"/>
      <c r="G4" s="4"/>
      <c r="H4" s="4"/>
      <c r="I4" s="4"/>
      <c r="J4" s="4"/>
      <c r="K4" s="4"/>
    </row>
    <row r="5" spans="1:11" ht="15.75" customHeight="1">
      <c r="A5"/>
      <c r="B5" s="4"/>
      <c r="C5" s="4"/>
      <c r="D5" s="383" t="s">
        <v>534</v>
      </c>
      <c r="E5" s="383"/>
      <c r="F5" s="383"/>
      <c r="G5" s="383"/>
      <c r="H5" s="4"/>
      <c r="I5"/>
      <c r="J5" s="4"/>
      <c r="K5" s="4"/>
    </row>
    <row r="6" spans="1:11" ht="15.75" customHeight="1">
      <c r="A6" s="4"/>
      <c r="B6" s="4"/>
      <c r="C6" s="4"/>
      <c r="D6" s="4"/>
      <c r="E6" s="1" t="s">
        <v>14</v>
      </c>
      <c r="F6" s="4"/>
      <c r="G6" s="4"/>
      <c r="H6" s="4"/>
      <c r="I6" s="4"/>
      <c r="J6" s="4"/>
      <c r="K6" s="4"/>
    </row>
    <row r="7" spans="1:11" ht="15.75" customHeight="1">
      <c r="A7" s="4"/>
      <c r="B7" s="4"/>
      <c r="C7" s="4"/>
      <c r="D7" s="4"/>
      <c r="E7" s="1" t="s">
        <v>15</v>
      </c>
      <c r="F7" s="4"/>
      <c r="G7" s="4"/>
      <c r="H7" s="4"/>
      <c r="I7" s="4"/>
      <c r="J7" s="4"/>
      <c r="K7" s="4"/>
    </row>
    <row r="8" spans="1:11" ht="12.75" customHeight="1">
      <c r="A8" s="4"/>
      <c r="B8" s="4"/>
      <c r="C8" s="6"/>
      <c r="D8" s="4"/>
      <c r="E8" s="1" t="s">
        <v>16</v>
      </c>
      <c r="F8" s="4"/>
      <c r="G8" s="4"/>
      <c r="H8" s="4"/>
      <c r="I8" s="4"/>
      <c r="J8" s="4"/>
      <c r="K8" s="4"/>
    </row>
    <row r="9" spans="1:11" ht="12.75" customHeight="1">
      <c r="A9" s="4"/>
      <c r="B9" s="4"/>
      <c r="C9" s="4"/>
      <c r="D9" s="6"/>
      <c r="E9" s="13" t="s">
        <v>535</v>
      </c>
      <c r="F9" s="6"/>
      <c r="G9" s="6"/>
      <c r="H9" s="4"/>
      <c r="I9" s="4"/>
      <c r="J9" s="4"/>
      <c r="K9" s="4"/>
    </row>
    <row r="10" spans="1:11" ht="12.75" customHeight="1">
      <c r="A10" s="4"/>
      <c r="B10" s="4"/>
      <c r="C10" s="4"/>
      <c r="D10" s="4"/>
      <c r="E10" s="4"/>
      <c r="F10" s="4"/>
      <c r="G10" s="4"/>
      <c r="H10" s="4"/>
      <c r="I10" s="4"/>
      <c r="J10" s="4"/>
      <c r="K10" s="4"/>
    </row>
    <row r="11" spans="1:11" ht="12.75" customHeight="1">
      <c r="A11" s="4"/>
      <c r="B11" s="4"/>
      <c r="C11" s="4"/>
      <c r="D11" s="4"/>
      <c r="E11" s="4"/>
      <c r="F11" s="4"/>
      <c r="G11" s="4"/>
      <c r="H11" s="4"/>
      <c r="I11" s="4"/>
      <c r="J11" s="4"/>
      <c r="K11" s="4"/>
    </row>
    <row r="12" spans="1:11" ht="12.75" customHeight="1">
      <c r="A12" s="4"/>
      <c r="B12" s="4"/>
      <c r="C12" s="4"/>
      <c r="D12" s="4"/>
      <c r="E12" s="4"/>
      <c r="F12" s="4"/>
      <c r="G12" s="4"/>
      <c r="H12" s="4"/>
      <c r="I12" s="4"/>
      <c r="J12" s="4"/>
      <c r="K12" s="4"/>
    </row>
    <row r="13" spans="1:11" ht="12.75" customHeight="1">
      <c r="A13" s="4"/>
      <c r="B13" s="4"/>
      <c r="C13" s="4"/>
      <c r="D13" s="4"/>
      <c r="E13" s="4"/>
      <c r="F13" s="4"/>
      <c r="G13" s="4"/>
      <c r="H13" s="4"/>
      <c r="I13" s="4"/>
      <c r="J13" s="4"/>
      <c r="K13" s="4"/>
    </row>
    <row r="14" spans="1:11" ht="12.75" customHeight="1">
      <c r="A14" s="3" t="s">
        <v>5</v>
      </c>
      <c r="B14" s="4"/>
      <c r="C14" s="4"/>
      <c r="D14" s="4"/>
      <c r="E14" s="4"/>
      <c r="F14" s="4"/>
      <c r="G14" s="4"/>
      <c r="H14" s="4"/>
      <c r="I14" s="4"/>
      <c r="J14" s="4"/>
      <c r="K14" s="4"/>
    </row>
    <row r="15" spans="1:11" ht="12.75" customHeight="1">
      <c r="A15" s="3"/>
      <c r="B15" s="4"/>
      <c r="C15" s="4"/>
      <c r="D15" s="4"/>
      <c r="E15" s="4"/>
      <c r="F15" s="4"/>
      <c r="G15" s="4"/>
      <c r="H15" s="4"/>
      <c r="I15" s="4"/>
      <c r="J15" s="4"/>
      <c r="K15" s="4"/>
    </row>
    <row r="16" spans="1:11" ht="12.75" customHeight="1">
      <c r="A16" s="4" t="s">
        <v>222</v>
      </c>
      <c r="B16" s="4"/>
      <c r="C16" s="4"/>
      <c r="D16" s="4"/>
      <c r="E16" s="4"/>
      <c r="F16" s="4"/>
      <c r="G16" s="4"/>
      <c r="H16" s="4"/>
      <c r="I16" s="4"/>
      <c r="J16" s="4"/>
      <c r="K16" s="4"/>
    </row>
    <row r="17" spans="1:11" ht="12.75" customHeight="1">
      <c r="A17" s="4" t="s">
        <v>223</v>
      </c>
      <c r="B17" s="4"/>
      <c r="C17" s="4"/>
      <c r="D17" s="4"/>
      <c r="E17" s="4"/>
      <c r="F17" s="4"/>
      <c r="G17" s="4"/>
      <c r="H17" s="4"/>
      <c r="I17" s="4"/>
      <c r="J17" s="4"/>
      <c r="K17" s="4"/>
    </row>
    <row r="18" spans="1:11" ht="12.75" customHeight="1">
      <c r="A18" s="4" t="s">
        <v>6</v>
      </c>
      <c r="B18" s="4"/>
      <c r="C18" s="4"/>
      <c r="D18" s="4"/>
      <c r="E18" s="4"/>
      <c r="F18" s="4"/>
      <c r="G18" s="4"/>
      <c r="H18" s="4"/>
      <c r="I18" s="4"/>
      <c r="J18" s="4"/>
      <c r="K18" s="4"/>
    </row>
    <row r="19" spans="1:11" ht="12.75" customHeight="1">
      <c r="A19" s="4" t="s">
        <v>224</v>
      </c>
      <c r="B19" s="4"/>
      <c r="C19" s="4"/>
      <c r="D19" s="4"/>
      <c r="E19" s="4"/>
      <c r="F19" s="4"/>
      <c r="G19" s="4"/>
      <c r="H19" s="4"/>
      <c r="I19" s="4"/>
      <c r="J19" s="4"/>
      <c r="K19" s="4"/>
    </row>
    <row r="20" spans="1:11" ht="12.75" customHeight="1">
      <c r="A20" s="4" t="s">
        <v>225</v>
      </c>
      <c r="B20" s="4"/>
      <c r="C20" s="4"/>
      <c r="D20" s="4"/>
      <c r="E20" s="4"/>
      <c r="F20" s="4"/>
      <c r="G20" s="4"/>
      <c r="H20" s="4"/>
      <c r="I20" s="4"/>
      <c r="J20" s="4"/>
      <c r="K20" s="4"/>
    </row>
    <row r="21" spans="1:11" ht="12.75" customHeight="1">
      <c r="A21" s="4" t="s">
        <v>7</v>
      </c>
      <c r="B21" s="4"/>
      <c r="C21" s="4"/>
      <c r="D21" s="4"/>
      <c r="E21" s="4"/>
      <c r="F21" s="4"/>
      <c r="G21" s="4"/>
      <c r="H21" s="4"/>
      <c r="I21" s="4"/>
      <c r="J21" s="4"/>
      <c r="K21" s="4"/>
    </row>
    <row r="22" spans="1:11" ht="12.75" customHeight="1">
      <c r="A22" s="4" t="s">
        <v>226</v>
      </c>
      <c r="B22" s="4"/>
      <c r="C22" s="4"/>
      <c r="D22" s="4"/>
      <c r="E22" s="4"/>
      <c r="F22" s="4"/>
      <c r="G22" s="4"/>
      <c r="H22" s="4"/>
      <c r="I22" s="4"/>
      <c r="J22" s="4"/>
      <c r="K22" s="4"/>
    </row>
    <row r="23" spans="1:11" ht="12.75" customHeight="1">
      <c r="A23" s="4" t="s">
        <v>298</v>
      </c>
      <c r="B23" s="4"/>
      <c r="C23" s="4"/>
      <c r="D23" s="4"/>
      <c r="E23" s="4"/>
      <c r="F23" s="4"/>
      <c r="G23" s="4"/>
      <c r="H23" s="4"/>
      <c r="I23" s="4"/>
      <c r="J23" s="4"/>
      <c r="K23" s="4"/>
    </row>
    <row r="24" spans="1:11" ht="12.75" customHeight="1">
      <c r="A24" s="4" t="s">
        <v>297</v>
      </c>
      <c r="B24" s="4"/>
      <c r="C24" s="4"/>
      <c r="D24" s="4"/>
      <c r="E24" s="4"/>
      <c r="F24" s="4"/>
      <c r="G24" s="4"/>
      <c r="H24" s="4"/>
      <c r="I24" s="4"/>
      <c r="J24" s="4"/>
      <c r="K24" s="4"/>
    </row>
    <row r="25" spans="1:11" ht="12.75" customHeight="1">
      <c r="A25" s="4"/>
      <c r="B25" s="4"/>
      <c r="C25" s="4"/>
      <c r="D25" s="4"/>
      <c r="E25" s="4"/>
      <c r="F25" s="4"/>
      <c r="G25" s="4"/>
      <c r="H25" s="4"/>
      <c r="I25" s="4"/>
      <c r="J25" s="4"/>
      <c r="K25" s="4"/>
    </row>
    <row r="26" spans="1:11" ht="12.75" customHeight="1">
      <c r="A26" s="4"/>
      <c r="B26" s="4"/>
      <c r="C26" s="4"/>
      <c r="D26" s="4"/>
      <c r="E26" s="4"/>
      <c r="F26" s="4"/>
      <c r="G26" s="4"/>
      <c r="H26" s="4"/>
      <c r="I26" s="4"/>
      <c r="J26" s="4"/>
      <c r="K26" s="4"/>
    </row>
    <row r="27" spans="1:11" ht="12.75" customHeight="1">
      <c r="A27" s="3" t="s">
        <v>0</v>
      </c>
      <c r="B27" s="4"/>
      <c r="C27" s="4"/>
      <c r="D27" s="4"/>
      <c r="E27" s="4"/>
      <c r="F27" s="4"/>
      <c r="G27" s="4"/>
      <c r="H27" s="4"/>
      <c r="I27" s="4"/>
      <c r="J27" s="4"/>
      <c r="K27" s="4"/>
    </row>
    <row r="28" spans="1:11" ht="12.75" customHeight="1">
      <c r="A28" s="3"/>
      <c r="B28" s="4"/>
      <c r="C28" s="4"/>
      <c r="D28" s="4"/>
      <c r="E28" s="4"/>
      <c r="F28" s="4"/>
      <c r="G28" s="4"/>
      <c r="H28" s="4"/>
      <c r="I28" s="4"/>
      <c r="J28" s="4"/>
      <c r="K28" s="4"/>
    </row>
    <row r="29" spans="1:11" ht="12.75" customHeight="1">
      <c r="A29" s="4" t="s">
        <v>1</v>
      </c>
      <c r="B29" s="4"/>
      <c r="C29" s="4"/>
      <c r="D29" s="4"/>
      <c r="E29" s="4"/>
      <c r="F29" s="4"/>
      <c r="G29" s="4"/>
      <c r="H29" s="4"/>
      <c r="I29" s="4"/>
      <c r="J29" s="4"/>
      <c r="K29" s="4"/>
    </row>
    <row r="30" spans="1:12" ht="12.75" customHeight="1">
      <c r="A30" s="4" t="s">
        <v>2</v>
      </c>
      <c r="B30" s="4"/>
      <c r="C30" s="4"/>
      <c r="D30" s="4"/>
      <c r="E30" s="4"/>
      <c r="F30" s="4"/>
      <c r="G30" s="4"/>
      <c r="H30" s="4"/>
      <c r="I30" s="4"/>
      <c r="J30" s="4"/>
      <c r="K30" s="4"/>
      <c r="L30" s="12"/>
    </row>
    <row r="31" spans="1:11" ht="12.75" customHeight="1" thickBot="1">
      <c r="A31" s="4" t="s">
        <v>3</v>
      </c>
      <c r="B31" s="4"/>
      <c r="C31" s="4"/>
      <c r="D31" s="4"/>
      <c r="E31" s="4"/>
      <c r="F31" s="4"/>
      <c r="G31" s="4"/>
      <c r="H31" s="4"/>
      <c r="I31" s="4"/>
      <c r="J31" s="4"/>
      <c r="K31" s="4"/>
    </row>
    <row r="32" spans="1:52" s="11" customFormat="1" ht="19.5" customHeight="1" thickBot="1">
      <c r="A32" s="9" t="s">
        <v>12</v>
      </c>
      <c r="B32" s="9"/>
      <c r="C32" s="9"/>
      <c r="D32" s="9"/>
      <c r="E32" s="9"/>
      <c r="F32" s="9"/>
      <c r="G32" s="9"/>
      <c r="H32" s="10"/>
      <c r="I32" s="33"/>
      <c r="J32" s="10"/>
      <c r="K32" s="10"/>
      <c r="M32" s="12"/>
      <c r="AC32"/>
      <c r="AD32"/>
      <c r="AE32"/>
      <c r="AF32"/>
      <c r="AG32"/>
      <c r="AH32"/>
      <c r="AI32"/>
      <c r="AJ32"/>
      <c r="AK32"/>
      <c r="AL32"/>
      <c r="AM32"/>
      <c r="AN32"/>
      <c r="AO32"/>
      <c r="AP32"/>
      <c r="AQ32"/>
      <c r="AR32"/>
      <c r="AS32"/>
      <c r="AT32"/>
      <c r="AU32"/>
      <c r="AV32"/>
      <c r="AW32"/>
      <c r="AX32"/>
      <c r="AY32"/>
      <c r="AZ32"/>
    </row>
    <row r="33" spans="1:13" ht="12.75" customHeight="1">
      <c r="A33" s="4"/>
      <c r="B33" s="4"/>
      <c r="C33" s="4"/>
      <c r="D33" s="4"/>
      <c r="E33" s="4"/>
      <c r="F33" s="4"/>
      <c r="G33" s="4"/>
      <c r="H33" s="6"/>
      <c r="I33" s="4"/>
      <c r="J33" s="6"/>
      <c r="K33" s="6"/>
      <c r="M33" s="8"/>
    </row>
    <row r="34" spans="1:13" ht="12.75" customHeight="1">
      <c r="A34" s="4" t="s">
        <v>13</v>
      </c>
      <c r="B34" s="4"/>
      <c r="C34" s="4"/>
      <c r="D34" s="4"/>
      <c r="E34" s="4"/>
      <c r="F34" s="4"/>
      <c r="G34" s="4"/>
      <c r="H34" s="4"/>
      <c r="I34" s="4"/>
      <c r="J34" s="4"/>
      <c r="K34" s="4"/>
      <c r="M34" s="8"/>
    </row>
    <row r="35" spans="1:13" ht="12.75" customHeight="1">
      <c r="A35" s="4"/>
      <c r="B35" s="4"/>
      <c r="C35" s="4"/>
      <c r="D35" s="4"/>
      <c r="E35" s="4"/>
      <c r="F35" s="4"/>
      <c r="G35" s="4"/>
      <c r="H35" s="4"/>
      <c r="I35" s="4"/>
      <c r="J35" s="4"/>
      <c r="K35" s="4"/>
      <c r="L35" s="8"/>
      <c r="M35" s="8"/>
    </row>
    <row r="36" spans="1:13" ht="12.75" customHeight="1">
      <c r="A36" s="7"/>
      <c r="B36" s="4"/>
      <c r="C36" s="4"/>
      <c r="D36" s="4"/>
      <c r="E36" s="4"/>
      <c r="F36" s="4"/>
      <c r="G36" s="4"/>
      <c r="H36" s="4"/>
      <c r="I36" s="4"/>
      <c r="J36" s="4"/>
      <c r="K36" s="4"/>
      <c r="L36" s="8"/>
      <c r="M36" s="8"/>
    </row>
    <row r="37" spans="1:13" ht="12.75" customHeight="1">
      <c r="A37" s="4"/>
      <c r="B37" s="4"/>
      <c r="C37" s="4"/>
      <c r="D37" s="4"/>
      <c r="E37" s="4"/>
      <c r="F37" s="4"/>
      <c r="G37" s="4"/>
      <c r="H37" s="4"/>
      <c r="I37" s="4"/>
      <c r="J37" s="4"/>
      <c r="K37" s="4"/>
      <c r="L37" s="8"/>
      <c r="M37" s="8"/>
    </row>
    <row r="38" spans="1:11" ht="12.75" customHeight="1">
      <c r="A38" s="3" t="s">
        <v>4</v>
      </c>
      <c r="B38" s="4"/>
      <c r="C38" s="4"/>
      <c r="D38" s="4"/>
      <c r="E38" s="4"/>
      <c r="F38" s="4"/>
      <c r="G38" s="4"/>
      <c r="H38" s="4"/>
      <c r="I38" s="4"/>
      <c r="J38" s="4"/>
      <c r="K38" s="4"/>
    </row>
    <row r="39" spans="1:11" ht="12.75" customHeight="1">
      <c r="A39" s="3"/>
      <c r="B39" s="4"/>
      <c r="C39" s="4"/>
      <c r="D39" s="4"/>
      <c r="E39" s="4"/>
      <c r="F39" s="4"/>
      <c r="G39" s="4"/>
      <c r="H39" s="4"/>
      <c r="I39" s="4"/>
      <c r="J39" s="4"/>
      <c r="K39" s="4"/>
    </row>
    <row r="40" spans="1:11" ht="12.75" customHeight="1">
      <c r="A40" s="4" t="s">
        <v>227</v>
      </c>
      <c r="B40" s="4"/>
      <c r="C40" s="4"/>
      <c r="D40" s="4"/>
      <c r="E40" s="4"/>
      <c r="F40" s="4"/>
      <c r="G40" s="4"/>
      <c r="H40" s="4"/>
      <c r="I40" s="4"/>
      <c r="J40" s="4"/>
      <c r="K40" s="4"/>
    </row>
    <row r="41" spans="1:11" ht="12.75" customHeight="1">
      <c r="A41" s="4" t="s">
        <v>228</v>
      </c>
      <c r="B41" s="4"/>
      <c r="C41" s="4"/>
      <c r="D41" s="4"/>
      <c r="E41" s="4"/>
      <c r="F41" s="4"/>
      <c r="G41" s="4"/>
      <c r="H41" s="4"/>
      <c r="I41" s="4"/>
      <c r="J41" s="4"/>
      <c r="K41" s="4"/>
    </row>
    <row r="42" spans="1:11" ht="12.75" customHeight="1">
      <c r="A42" s="4" t="s">
        <v>8</v>
      </c>
      <c r="B42" s="4"/>
      <c r="C42" s="4"/>
      <c r="D42" s="4"/>
      <c r="E42" s="4"/>
      <c r="F42" s="4"/>
      <c r="G42" s="4"/>
      <c r="H42" s="4"/>
      <c r="I42" s="4"/>
      <c r="J42" s="4"/>
      <c r="K42" s="4"/>
    </row>
    <row r="43" spans="1:11" ht="12.75" customHeight="1">
      <c r="A43" s="4"/>
      <c r="B43" s="4" t="s">
        <v>253</v>
      </c>
      <c r="C43" s="4"/>
      <c r="D43" s="4"/>
      <c r="E43" s="4"/>
      <c r="F43" s="4"/>
      <c r="G43" s="4"/>
      <c r="H43" s="4"/>
      <c r="I43" s="4"/>
      <c r="J43" s="4"/>
      <c r="K43" s="4"/>
    </row>
    <row r="44" spans="1:11" ht="12.75" customHeight="1">
      <c r="A44" s="4"/>
      <c r="B44" s="4" t="s">
        <v>229</v>
      </c>
      <c r="C44" s="4"/>
      <c r="D44" s="4"/>
      <c r="E44" s="4"/>
      <c r="F44" s="4"/>
      <c r="G44" s="4"/>
      <c r="H44" s="4"/>
      <c r="I44" s="4"/>
      <c r="J44" s="4"/>
      <c r="K44" s="4"/>
    </row>
    <row r="45" spans="1:11" ht="12.75" customHeight="1">
      <c r="A45" s="4"/>
      <c r="B45" s="4" t="s">
        <v>230</v>
      </c>
      <c r="C45" s="4"/>
      <c r="D45" s="4"/>
      <c r="E45" s="4"/>
      <c r="F45" s="4"/>
      <c r="G45" s="4"/>
      <c r="H45" s="4"/>
      <c r="I45" s="4"/>
      <c r="J45" s="4"/>
      <c r="K45" s="4"/>
    </row>
    <row r="46" spans="1:11" ht="12.75" customHeight="1">
      <c r="A46" s="4"/>
      <c r="B46" s="4" t="s">
        <v>9</v>
      </c>
      <c r="C46" s="4"/>
      <c r="D46" s="4"/>
      <c r="E46" s="4"/>
      <c r="F46" s="4"/>
      <c r="G46" s="4"/>
      <c r="H46" s="4"/>
      <c r="I46" s="4"/>
      <c r="J46" s="4"/>
      <c r="K46" s="4"/>
    </row>
    <row r="47" spans="1:11" ht="12.75" customHeight="1">
      <c r="A47" s="4" t="s">
        <v>11</v>
      </c>
      <c r="B47" s="4"/>
      <c r="C47" s="4"/>
      <c r="D47" s="4"/>
      <c r="E47" s="4"/>
      <c r="F47" s="4"/>
      <c r="G47" s="4"/>
      <c r="H47" s="4"/>
      <c r="I47" s="4"/>
      <c r="J47" s="4"/>
      <c r="K47" s="4"/>
    </row>
    <row r="48" spans="1:13" ht="12.75" customHeight="1">
      <c r="A48" s="4" t="s">
        <v>10</v>
      </c>
      <c r="B48" s="4"/>
      <c r="C48" s="4"/>
      <c r="D48" s="4"/>
      <c r="E48" s="4"/>
      <c r="F48" s="4"/>
      <c r="G48" s="4"/>
      <c r="H48" s="4"/>
      <c r="I48" s="4"/>
      <c r="J48" s="4"/>
      <c r="K48" s="4"/>
      <c r="M48" s="36">
        <v>1</v>
      </c>
    </row>
    <row r="49" spans="1:28" ht="18" customHeight="1">
      <c r="A49" s="262" t="s">
        <v>361</v>
      </c>
      <c r="B49" s="258"/>
      <c r="C49" s="259"/>
      <c r="D49" s="260"/>
      <c r="E49" s="260"/>
      <c r="F49" s="261"/>
      <c r="G49" s="261"/>
      <c r="H49" s="261"/>
      <c r="I49" s="261"/>
      <c r="J49" s="261"/>
      <c r="K49" s="263"/>
      <c r="L49"/>
      <c r="M49" s="21" t="s">
        <v>362</v>
      </c>
      <c r="N49" s="19"/>
      <c r="O49" s="256"/>
      <c r="P49"/>
      <c r="Q49"/>
      <c r="R49"/>
      <c r="S49"/>
      <c r="T49"/>
      <c r="U49"/>
      <c r="V49"/>
      <c r="W49"/>
      <c r="X49"/>
      <c r="Y49"/>
      <c r="Z49"/>
      <c r="AA49"/>
      <c r="AB49"/>
    </row>
    <row r="50" spans="1:28" ht="12.75">
      <c r="A50" s="257"/>
      <c r="B50" s="141"/>
      <c r="C50" s="141"/>
      <c r="D50" s="141"/>
      <c r="E50" s="141"/>
      <c r="F50" s="141"/>
      <c r="G50" s="141"/>
      <c r="H50" s="141"/>
      <c r="I50" s="141"/>
      <c r="J50" s="141"/>
      <c r="K50" s="141"/>
      <c r="L50"/>
      <c r="M50" s="265" t="s">
        <v>359</v>
      </c>
      <c r="N50" s="266"/>
      <c r="O50" s="256"/>
      <c r="P50"/>
      <c r="Q50"/>
      <c r="R50"/>
      <c r="S50"/>
      <c r="T50"/>
      <c r="U50"/>
      <c r="V50"/>
      <c r="W50"/>
      <c r="X50"/>
      <c r="Y50"/>
      <c r="Z50"/>
      <c r="AA50"/>
      <c r="AB50"/>
    </row>
    <row r="51" spans="1:28" ht="12.75">
      <c r="A51" s="257"/>
      <c r="B51" s="141"/>
      <c r="C51" s="141"/>
      <c r="D51" s="141"/>
      <c r="E51" s="141"/>
      <c r="F51" s="141"/>
      <c r="G51" s="141"/>
      <c r="H51" s="141"/>
      <c r="I51" s="141"/>
      <c r="J51" s="141"/>
      <c r="K51" s="141"/>
      <c r="L51"/>
      <c r="M51" s="267" t="s">
        <v>360</v>
      </c>
      <c r="N51" s="268"/>
      <c r="O51"/>
      <c r="P51" s="269"/>
      <c r="Q51"/>
      <c r="R51"/>
      <c r="S51"/>
      <c r="T51"/>
      <c r="U51"/>
      <c r="V51"/>
      <c r="W51"/>
      <c r="X51"/>
      <c r="Y51"/>
      <c r="Z51"/>
      <c r="AA51"/>
      <c r="AB51"/>
    </row>
    <row r="52" spans="1:28" ht="12.75">
      <c r="A52" s="257"/>
      <c r="B52" s="141"/>
      <c r="C52" s="141"/>
      <c r="D52" s="141"/>
      <c r="E52" s="141"/>
      <c r="F52" s="141"/>
      <c r="G52" s="141"/>
      <c r="H52" s="141"/>
      <c r="I52" s="141"/>
      <c r="J52" s="141"/>
      <c r="K52" s="141"/>
      <c r="L52"/>
      <c r="M52" s="264" t="str">
        <f>IF(M48=1,"B",IF(M48=2,"C",IF(M48=3,"D","")))</f>
        <v>B</v>
      </c>
      <c r="N52"/>
      <c r="O52"/>
      <c r="P52"/>
      <c r="Q52"/>
      <c r="R52"/>
      <c r="S52"/>
      <c r="T52"/>
      <c r="U52"/>
      <c r="V52"/>
      <c r="W52"/>
      <c r="X52"/>
      <c r="Y52"/>
      <c r="Z52"/>
      <c r="AA52"/>
      <c r="AB52"/>
    </row>
    <row r="53" spans="1:28" ht="12.75">
      <c r="A53" s="257"/>
      <c r="B53" s="141"/>
      <c r="C53" s="141"/>
      <c r="D53" s="141"/>
      <c r="E53" s="141"/>
      <c r="F53" s="141"/>
      <c r="G53" s="141"/>
      <c r="H53" s="141"/>
      <c r="I53" s="141"/>
      <c r="J53" s="141"/>
      <c r="K53" s="141"/>
      <c r="L53"/>
      <c r="M53" s="283"/>
      <c r="N53"/>
      <c r="O53"/>
      <c r="P53"/>
      <c r="Q53"/>
      <c r="R53"/>
      <c r="S53"/>
      <c r="T53"/>
      <c r="U53"/>
      <c r="V53"/>
      <c r="W53"/>
      <c r="X53"/>
      <c r="Y53"/>
      <c r="Z53"/>
      <c r="AA53"/>
      <c r="AB53"/>
    </row>
    <row r="54" spans="1:28" ht="15.75" hidden="1">
      <c r="A54" s="262"/>
      <c r="B54" s="258"/>
      <c r="C54" s="259"/>
      <c r="D54" s="260"/>
      <c r="E54" s="260"/>
      <c r="F54" s="261"/>
      <c r="G54" s="261"/>
      <c r="H54" s="261"/>
      <c r="I54" s="261"/>
      <c r="J54" s="261"/>
      <c r="K54" s="263"/>
      <c r="L54"/>
      <c r="M54" s="283"/>
      <c r="N54"/>
      <c r="O54"/>
      <c r="P54"/>
      <c r="Q54"/>
      <c r="R54"/>
      <c r="S54"/>
      <c r="T54"/>
      <c r="U54"/>
      <c r="V54"/>
      <c r="W54"/>
      <c r="X54"/>
      <c r="Y54"/>
      <c r="Z54"/>
      <c r="AA54"/>
      <c r="AB54"/>
    </row>
    <row r="55" spans="1:28" ht="12.75" hidden="1">
      <c r="A55" s="257"/>
      <c r="B55" s="141"/>
      <c r="C55" s="141"/>
      <c r="D55" s="141"/>
      <c r="E55" s="141"/>
      <c r="F55" s="141"/>
      <c r="G55" s="141"/>
      <c r="H55" s="141"/>
      <c r="I55" s="141"/>
      <c r="J55" s="141"/>
      <c r="K55" s="141"/>
      <c r="L55"/>
      <c r="M55" s="283"/>
      <c r="N55"/>
      <c r="O55"/>
      <c r="P55"/>
      <c r="Q55"/>
      <c r="R55"/>
      <c r="S55"/>
      <c r="T55"/>
      <c r="U55"/>
      <c r="V55"/>
      <c r="W55"/>
      <c r="X55"/>
      <c r="Y55"/>
      <c r="Z55"/>
      <c r="AA55"/>
      <c r="AB55"/>
    </row>
    <row r="56" spans="1:28" ht="12.75" hidden="1">
      <c r="A56" s="257"/>
      <c r="B56" s="141"/>
      <c r="C56" s="141"/>
      <c r="D56" s="141"/>
      <c r="E56" s="141"/>
      <c r="F56" s="141"/>
      <c r="G56" s="141"/>
      <c r="H56" s="141"/>
      <c r="I56" s="141"/>
      <c r="J56" s="141"/>
      <c r="K56" s="141"/>
      <c r="L56"/>
      <c r="M56" s="283"/>
      <c r="N56"/>
      <c r="O56"/>
      <c r="P56"/>
      <c r="Q56"/>
      <c r="R56"/>
      <c r="S56"/>
      <c r="T56"/>
      <c r="U56"/>
      <c r="V56"/>
      <c r="W56"/>
      <c r="X56"/>
      <c r="Y56"/>
      <c r="Z56"/>
      <c r="AA56"/>
      <c r="AB56"/>
    </row>
    <row r="57" spans="1:28" ht="12.75" hidden="1">
      <c r="A57" s="257"/>
      <c r="B57" s="141"/>
      <c r="C57" s="141"/>
      <c r="D57" s="141"/>
      <c r="E57" s="141"/>
      <c r="F57" s="141"/>
      <c r="G57" s="141"/>
      <c r="H57" s="141"/>
      <c r="I57" s="141"/>
      <c r="J57" s="141"/>
      <c r="K57" s="141"/>
      <c r="L57"/>
      <c r="M57" s="283"/>
      <c r="N57"/>
      <c r="O57"/>
      <c r="P57"/>
      <c r="Q57"/>
      <c r="R57"/>
      <c r="S57"/>
      <c r="T57"/>
      <c r="U57"/>
      <c r="V57"/>
      <c r="W57"/>
      <c r="X57"/>
      <c r="Y57"/>
      <c r="Z57"/>
      <c r="AA57"/>
      <c r="AB57"/>
    </row>
    <row r="58" spans="1:28" ht="12.75" hidden="1">
      <c r="A58" s="257"/>
      <c r="B58" s="141"/>
      <c r="C58" s="141"/>
      <c r="D58" s="141"/>
      <c r="E58" s="141"/>
      <c r="F58" s="141"/>
      <c r="G58" s="141"/>
      <c r="H58" s="141"/>
      <c r="I58" s="141"/>
      <c r="J58" s="141"/>
      <c r="K58" s="141"/>
      <c r="L58"/>
      <c r="M58" s="283"/>
      <c r="N58"/>
      <c r="O58"/>
      <c r="P58"/>
      <c r="Q58"/>
      <c r="R58"/>
      <c r="S58"/>
      <c r="T58"/>
      <c r="U58"/>
      <c r="V58"/>
      <c r="W58"/>
      <c r="X58"/>
      <c r="Y58"/>
      <c r="Z58"/>
      <c r="AA58"/>
      <c r="AB58"/>
    </row>
    <row r="59" spans="1:28" ht="12.75" hidden="1">
      <c r="A59" s="257"/>
      <c r="B59" s="141"/>
      <c r="C59" s="141"/>
      <c r="D59" s="141"/>
      <c r="E59" s="141"/>
      <c r="F59" s="141"/>
      <c r="G59" s="141"/>
      <c r="H59" s="141"/>
      <c r="I59" s="141"/>
      <c r="J59" s="141"/>
      <c r="K59" s="141"/>
      <c r="L59"/>
      <c r="M59" s="283"/>
      <c r="N59"/>
      <c r="O59"/>
      <c r="P59"/>
      <c r="Q59"/>
      <c r="R59"/>
      <c r="S59"/>
      <c r="T59"/>
      <c r="U59"/>
      <c r="V59"/>
      <c r="W59"/>
      <c r="X59"/>
      <c r="Y59"/>
      <c r="Z59"/>
      <c r="AA59"/>
      <c r="AB59"/>
    </row>
    <row r="60" spans="1:28" ht="12.75" hidden="1">
      <c r="A60" s="286"/>
      <c r="B60" s="141"/>
      <c r="C60" s="141"/>
      <c r="D60" s="141"/>
      <c r="E60" s="141"/>
      <c r="F60" s="141"/>
      <c r="G60" s="141"/>
      <c r="H60" s="141"/>
      <c r="I60" s="141"/>
      <c r="J60" s="141"/>
      <c r="K60" s="141"/>
      <c r="L60"/>
      <c r="M60" s="283"/>
      <c r="N60"/>
      <c r="O60"/>
      <c r="P60"/>
      <c r="Q60"/>
      <c r="R60"/>
      <c r="S60"/>
      <c r="T60"/>
      <c r="U60"/>
      <c r="V60"/>
      <c r="W60"/>
      <c r="X60"/>
      <c r="Y60"/>
      <c r="Z60"/>
      <c r="AA60"/>
      <c r="AB60"/>
    </row>
    <row r="61" spans="1:14" ht="13.5" customHeight="1" hidden="1">
      <c r="A61" s="4"/>
      <c r="B61" s="4"/>
      <c r="C61" s="4"/>
      <c r="D61" s="4"/>
      <c r="E61" s="4"/>
      <c r="F61" s="4"/>
      <c r="G61" s="4"/>
      <c r="H61" s="4"/>
      <c r="I61" s="4"/>
      <c r="J61" s="4"/>
      <c r="K61" s="4"/>
      <c r="M61"/>
      <c r="N61"/>
    </row>
    <row r="62" spans="1:11" ht="18.75" customHeight="1">
      <c r="A62" s="303"/>
      <c r="B62" s="304"/>
      <c r="C62" s="304"/>
      <c r="D62" s="304"/>
      <c r="E62" s="305" t="s">
        <v>30</v>
      </c>
      <c r="F62" s="304"/>
      <c r="G62" s="304"/>
      <c r="H62" s="304"/>
      <c r="I62" s="304"/>
      <c r="J62" s="304"/>
      <c r="K62" s="306"/>
    </row>
    <row r="63" spans="1:11" ht="18.75" customHeight="1">
      <c r="A63" s="14"/>
      <c r="B63" s="14"/>
      <c r="C63" s="14"/>
      <c r="D63" s="14"/>
      <c r="E63" s="15"/>
      <c r="F63" s="14"/>
      <c r="G63" s="14"/>
      <c r="H63" s="14"/>
      <c r="I63" s="14"/>
      <c r="J63" s="14"/>
      <c r="K63" s="14"/>
    </row>
    <row r="64" spans="1:11" ht="18.75" customHeight="1">
      <c r="A64" s="14"/>
      <c r="B64" s="14"/>
      <c r="C64" s="14"/>
      <c r="D64" s="14"/>
      <c r="E64" s="15"/>
      <c r="F64" s="14"/>
      <c r="G64" s="14"/>
      <c r="H64" s="14"/>
      <c r="I64" s="14"/>
      <c r="J64" s="14"/>
      <c r="K64" s="14"/>
    </row>
    <row r="65" spans="1:28" ht="18.75" customHeight="1">
      <c r="A65" s="308"/>
      <c r="B65" s="382" t="s">
        <v>17</v>
      </c>
      <c r="C65" s="382"/>
      <c r="D65" s="308"/>
      <c r="E65" s="382" t="s">
        <v>18</v>
      </c>
      <c r="F65" s="382"/>
      <c r="G65" s="382"/>
      <c r="H65" s="308"/>
      <c r="I65" s="382" t="s">
        <v>483</v>
      </c>
      <c r="J65" s="382"/>
      <c r="K65" s="89" t="s">
        <v>484</v>
      </c>
      <c r="AA65" s="386"/>
      <c r="AB65" s="386"/>
    </row>
    <row r="66" spans="1:11" ht="18.75" customHeight="1">
      <c r="A66" s="14"/>
      <c r="B66" s="14"/>
      <c r="C66" s="14"/>
      <c r="D66" s="14"/>
      <c r="E66" s="14"/>
      <c r="F66" s="14"/>
      <c r="G66" s="14"/>
      <c r="H66" s="14"/>
      <c r="I66" s="376"/>
      <c r="J66" s="376"/>
      <c r="K66" s="307"/>
    </row>
    <row r="67" spans="1:11" ht="18.75" customHeight="1" thickBot="1">
      <c r="A67" s="14"/>
      <c r="B67" s="14"/>
      <c r="C67" s="14"/>
      <c r="D67" s="14"/>
      <c r="E67" s="14"/>
      <c r="F67" s="14"/>
      <c r="G67" s="14"/>
      <c r="H67" s="14"/>
      <c r="I67" s="382" t="s">
        <v>487</v>
      </c>
      <c r="J67" s="382"/>
      <c r="K67" s="89" t="s">
        <v>488</v>
      </c>
    </row>
    <row r="68" spans="1:28" ht="18.75" customHeight="1" thickBot="1">
      <c r="A68" s="14"/>
      <c r="B68" s="387"/>
      <c r="C68" s="387"/>
      <c r="D68" s="14"/>
      <c r="E68" s="387"/>
      <c r="F68" s="387"/>
      <c r="G68" s="388"/>
      <c r="H68" s="14"/>
      <c r="I68" s="376"/>
      <c r="J68" s="376"/>
      <c r="K68" s="307"/>
      <c r="AA68" s="384"/>
      <c r="AB68" s="385"/>
    </row>
    <row r="69" spans="1:11" ht="12.75" customHeight="1">
      <c r="A69" s="14"/>
      <c r="B69" s="14"/>
      <c r="C69" s="14"/>
      <c r="D69" s="14"/>
      <c r="E69" s="14"/>
      <c r="F69" s="14"/>
      <c r="G69" s="14"/>
      <c r="H69" s="380"/>
      <c r="I69" s="381"/>
      <c r="J69" s="381"/>
      <c r="K69" s="381"/>
    </row>
    <row r="70" spans="1:11" ht="2.25" customHeight="1">
      <c r="A70" s="14"/>
      <c r="B70" s="14"/>
      <c r="C70" s="14"/>
      <c r="D70" s="14"/>
      <c r="E70" s="14"/>
      <c r="F70" s="14"/>
      <c r="G70" s="14"/>
      <c r="H70" s="14"/>
      <c r="I70" s="14"/>
      <c r="J70" s="14"/>
      <c r="K70" s="14"/>
    </row>
    <row r="71" spans="1:11" ht="12.75" customHeight="1">
      <c r="A71" s="14"/>
      <c r="B71" s="14"/>
      <c r="C71" s="14"/>
      <c r="D71" s="14"/>
      <c r="E71" s="14"/>
      <c r="F71" s="14"/>
      <c r="G71" s="14"/>
      <c r="H71" s="14"/>
      <c r="I71" s="14"/>
      <c r="J71" s="14"/>
      <c r="K71" s="14"/>
    </row>
    <row r="72" spans="1:11" ht="5.25" customHeight="1">
      <c r="A72" s="14"/>
      <c r="B72" s="14"/>
      <c r="C72" s="14"/>
      <c r="D72" s="14"/>
      <c r="E72" s="14"/>
      <c r="F72" s="14"/>
      <c r="G72" s="14"/>
      <c r="H72" s="14"/>
      <c r="I72" s="14"/>
      <c r="J72" s="14"/>
      <c r="K72" s="14"/>
    </row>
    <row r="73" spans="1:11" ht="3.75" customHeight="1">
      <c r="A73" s="14"/>
      <c r="B73" s="14"/>
      <c r="C73" s="14"/>
      <c r="D73" s="14"/>
      <c r="E73" s="14"/>
      <c r="F73" s="14"/>
      <c r="G73" s="14"/>
      <c r="H73" s="14"/>
      <c r="I73" s="14"/>
      <c r="J73" s="14"/>
      <c r="K73" s="14"/>
    </row>
    <row r="74" spans="1:11" ht="12.75" customHeight="1">
      <c r="A74" s="3" t="s">
        <v>19</v>
      </c>
      <c r="B74" s="4"/>
      <c r="C74" s="4"/>
      <c r="D74" s="4"/>
      <c r="E74" s="4"/>
      <c r="F74" s="4"/>
      <c r="G74" s="4"/>
      <c r="H74" s="4"/>
      <c r="I74" s="4"/>
      <c r="J74" s="4"/>
      <c r="K74" s="4"/>
    </row>
    <row r="75" spans="1:11" ht="12.75" customHeight="1">
      <c r="A75" s="3"/>
      <c r="B75" s="4"/>
      <c r="C75" s="4"/>
      <c r="D75" s="4"/>
      <c r="E75" s="4"/>
      <c r="F75" s="4"/>
      <c r="G75" s="4"/>
      <c r="H75" s="4"/>
      <c r="I75" s="4"/>
      <c r="J75" s="4"/>
      <c r="K75" s="4"/>
    </row>
    <row r="76" spans="1:11" ht="12.75" customHeight="1">
      <c r="A76" s="3" t="s">
        <v>20</v>
      </c>
      <c r="B76" s="4"/>
      <c r="C76" s="4"/>
      <c r="D76" s="4"/>
      <c r="E76" s="4"/>
      <c r="F76" s="4"/>
      <c r="G76" s="4"/>
      <c r="H76" s="4"/>
      <c r="I76" s="4"/>
      <c r="J76" s="4"/>
      <c r="K76" s="4"/>
    </row>
    <row r="77" spans="1:11" ht="12.75" customHeight="1">
      <c r="A77" s="4"/>
      <c r="B77" s="4"/>
      <c r="C77" s="4"/>
      <c r="D77" s="4"/>
      <c r="E77" s="4"/>
      <c r="F77" s="4"/>
      <c r="G77" s="4"/>
      <c r="H77" s="4"/>
      <c r="I77" s="4"/>
      <c r="J77" s="4"/>
      <c r="K77" s="4"/>
    </row>
    <row r="78" spans="1:12" ht="12.75" customHeight="1">
      <c r="A78" s="4"/>
      <c r="B78" s="4"/>
      <c r="C78" s="4"/>
      <c r="D78" s="4"/>
      <c r="E78" s="4"/>
      <c r="F78" s="4"/>
      <c r="G78" s="4"/>
      <c r="H78" s="4"/>
      <c r="I78" s="4"/>
      <c r="J78" s="4"/>
      <c r="K78" s="4"/>
      <c r="L78" s="34">
        <v>1</v>
      </c>
    </row>
    <row r="79" spans="1:14" ht="12.75" customHeight="1">
      <c r="A79" s="4"/>
      <c r="B79" s="4"/>
      <c r="C79" s="4"/>
      <c r="D79" s="4"/>
      <c r="E79" s="4"/>
      <c r="F79" s="4"/>
      <c r="G79" s="4"/>
      <c r="H79" s="4"/>
      <c r="I79" s="4"/>
      <c r="J79" s="4"/>
      <c r="K79" s="4"/>
      <c r="L79" s="21" t="s">
        <v>41</v>
      </c>
      <c r="M79" s="19"/>
      <c r="N79" s="16"/>
    </row>
    <row r="80" spans="1:14" ht="12.75" customHeight="1">
      <c r="A80" s="4"/>
      <c r="B80" s="4"/>
      <c r="C80" s="4"/>
      <c r="D80" s="4"/>
      <c r="E80" s="4"/>
      <c r="F80" s="4"/>
      <c r="G80" s="4"/>
      <c r="H80" s="4"/>
      <c r="I80" s="4"/>
      <c r="J80" s="4"/>
      <c r="K80" s="4"/>
      <c r="L80" s="22" t="s">
        <v>23</v>
      </c>
      <c r="M80" s="20"/>
      <c r="N80" s="17">
        <f>IF(L78=2,1,"")</f>
      </c>
    </row>
    <row r="81" spans="1:14" ht="12.75" customHeight="1">
      <c r="A81" s="4"/>
      <c r="B81" s="4"/>
      <c r="C81" s="4"/>
      <c r="D81" s="4"/>
      <c r="E81" s="4"/>
      <c r="F81" s="4"/>
      <c r="G81" s="4"/>
      <c r="H81" s="4"/>
      <c r="I81" s="4"/>
      <c r="J81" s="4"/>
      <c r="K81" s="4"/>
      <c r="L81" s="22" t="s">
        <v>21</v>
      </c>
      <c r="M81" s="20"/>
      <c r="N81" s="17">
        <f>IF(L78=3,0.8,N80)</f>
      </c>
    </row>
    <row r="82" spans="1:14" ht="12.75" customHeight="1">
      <c r="A82" s="4"/>
      <c r="B82" s="4"/>
      <c r="C82" s="4"/>
      <c r="D82" s="4"/>
      <c r="E82" s="4"/>
      <c r="F82" s="4"/>
      <c r="G82" s="4"/>
      <c r="H82" s="4"/>
      <c r="I82" s="4"/>
      <c r="J82" s="4"/>
      <c r="K82" s="4"/>
      <c r="L82" s="23" t="s">
        <v>22</v>
      </c>
      <c r="M82" s="24"/>
      <c r="N82" s="18">
        <f>IF(L78=4,0.2,N81)</f>
      </c>
    </row>
    <row r="83" spans="1:11" ht="12.75" customHeight="1">
      <c r="A83" s="4"/>
      <c r="B83" s="4"/>
      <c r="C83" s="4"/>
      <c r="D83" s="4"/>
      <c r="E83" s="4"/>
      <c r="F83" s="4"/>
      <c r="G83" s="4"/>
      <c r="H83" s="4"/>
      <c r="I83" s="4"/>
      <c r="J83" s="4"/>
      <c r="K83" s="4"/>
    </row>
    <row r="84" spans="1:11" ht="12.75" customHeight="1">
      <c r="A84" s="4"/>
      <c r="B84" s="4"/>
      <c r="C84" s="4"/>
      <c r="D84" s="4"/>
      <c r="E84" s="4"/>
      <c r="F84" s="4"/>
      <c r="G84" s="4"/>
      <c r="H84" s="4"/>
      <c r="I84" s="4"/>
      <c r="J84" s="4"/>
      <c r="K84" s="4"/>
    </row>
    <row r="85" spans="1:11" ht="12.75" customHeight="1">
      <c r="A85" s="4"/>
      <c r="B85" s="4"/>
      <c r="C85" s="4"/>
      <c r="D85" s="4"/>
      <c r="E85" s="4"/>
      <c r="F85" s="4"/>
      <c r="G85" s="4"/>
      <c r="H85" s="4"/>
      <c r="I85" s="4"/>
      <c r="J85" s="4"/>
      <c r="K85" s="4"/>
    </row>
    <row r="86" spans="1:11" ht="12.75" customHeight="1">
      <c r="A86" s="4"/>
      <c r="B86" s="4"/>
      <c r="C86" s="4"/>
      <c r="D86" s="4"/>
      <c r="E86" s="4"/>
      <c r="F86" s="4"/>
      <c r="G86" s="4"/>
      <c r="H86" s="4"/>
      <c r="I86" s="4"/>
      <c r="J86" s="4"/>
      <c r="K86" s="4"/>
    </row>
    <row r="87" spans="1:11" ht="12.75" customHeight="1" thickBot="1">
      <c r="A87" s="4"/>
      <c r="B87" s="4"/>
      <c r="C87" s="4"/>
      <c r="D87" s="4"/>
      <c r="E87" s="4"/>
      <c r="F87" s="4"/>
      <c r="G87" s="4"/>
      <c r="H87" s="4"/>
      <c r="I87" s="4"/>
      <c r="J87" s="4"/>
      <c r="K87" s="4"/>
    </row>
    <row r="88" spans="1:11" ht="19.5" customHeight="1" thickBot="1">
      <c r="A88" s="4"/>
      <c r="B88" s="4"/>
      <c r="C88" s="4"/>
      <c r="D88" s="4"/>
      <c r="E88" s="4"/>
      <c r="F88" s="4"/>
      <c r="G88" s="4"/>
      <c r="H88" s="4"/>
      <c r="I88" s="4"/>
      <c r="J88" s="165" t="s">
        <v>256</v>
      </c>
      <c r="K88" s="166">
        <f>N82</f>
      </c>
    </row>
    <row r="89" spans="1:11" ht="12.75" customHeight="1">
      <c r="A89" s="4"/>
      <c r="B89" s="4"/>
      <c r="C89" s="4"/>
      <c r="D89" s="4"/>
      <c r="E89" s="4"/>
      <c r="F89" s="4"/>
      <c r="G89" s="4"/>
      <c r="H89" s="4"/>
      <c r="I89" s="4"/>
      <c r="J89" s="4"/>
      <c r="K89" s="4"/>
    </row>
    <row r="90" spans="1:12" ht="12.75" customHeight="1">
      <c r="A90" s="3" t="s">
        <v>35</v>
      </c>
      <c r="B90" s="4"/>
      <c r="C90" s="4"/>
      <c r="D90" s="4"/>
      <c r="E90" s="4"/>
      <c r="F90" s="4"/>
      <c r="G90" s="4"/>
      <c r="H90" s="4"/>
      <c r="I90" s="4"/>
      <c r="J90" s="4"/>
      <c r="K90" s="4"/>
      <c r="L90" s="29">
        <v>4</v>
      </c>
    </row>
    <row r="91" spans="1:12" ht="12.75" customHeight="1">
      <c r="A91" s="4"/>
      <c r="B91" s="4"/>
      <c r="C91" s="4"/>
      <c r="D91" s="4"/>
      <c r="E91" s="4"/>
      <c r="F91" s="4"/>
      <c r="G91" s="4"/>
      <c r="H91" s="4"/>
      <c r="I91" s="4"/>
      <c r="J91" s="4"/>
      <c r="K91" s="4"/>
      <c r="L91" s="34">
        <v>3</v>
      </c>
    </row>
    <row r="92" spans="1:14" ht="12.75" customHeight="1">
      <c r="A92" s="4"/>
      <c r="B92" s="4"/>
      <c r="C92" s="4"/>
      <c r="D92" s="4"/>
      <c r="E92" s="4"/>
      <c r="F92" s="4"/>
      <c r="G92" s="4"/>
      <c r="H92" s="4"/>
      <c r="I92" s="4"/>
      <c r="J92" s="4"/>
      <c r="K92" s="4"/>
      <c r="L92" s="21" t="s">
        <v>41</v>
      </c>
      <c r="M92" s="19"/>
      <c r="N92" s="16"/>
    </row>
    <row r="93" spans="1:14" ht="12.75" customHeight="1">
      <c r="A93" s="4"/>
      <c r="B93" s="4"/>
      <c r="C93" s="4"/>
      <c r="D93" s="4"/>
      <c r="E93" s="4"/>
      <c r="F93" s="4"/>
      <c r="G93" s="4"/>
      <c r="H93" s="4"/>
      <c r="I93" s="4"/>
      <c r="J93" s="4"/>
      <c r="K93" s="4"/>
      <c r="L93" s="22" t="s">
        <v>24</v>
      </c>
      <c r="M93" s="20"/>
      <c r="N93" s="17">
        <f>IF(L91=2,0.2,"")</f>
      </c>
    </row>
    <row r="94" spans="1:14" ht="12.75" customHeight="1">
      <c r="A94" s="4"/>
      <c r="B94" s="4"/>
      <c r="C94" s="4"/>
      <c r="D94" s="4"/>
      <c r="E94" s="4"/>
      <c r="F94" s="4"/>
      <c r="G94" s="4"/>
      <c r="H94" s="4"/>
      <c r="I94" s="4"/>
      <c r="J94" s="4"/>
      <c r="K94" s="4"/>
      <c r="L94" s="22" t="s">
        <v>25</v>
      </c>
      <c r="M94" s="20"/>
      <c r="N94" s="17">
        <f>IF(L91=3,0.4,N93)</f>
        <v>0.4</v>
      </c>
    </row>
    <row r="95" spans="1:14" ht="12.75" customHeight="1">
      <c r="A95" s="4"/>
      <c r="B95" s="4"/>
      <c r="C95" s="4"/>
      <c r="D95" s="4"/>
      <c r="E95" s="4"/>
      <c r="F95" s="4"/>
      <c r="G95" s="4"/>
      <c r="H95" s="4"/>
      <c r="I95" s="4"/>
      <c r="J95" s="4"/>
      <c r="K95" s="4"/>
      <c r="L95" s="22" t="s">
        <v>26</v>
      </c>
      <c r="M95" s="20"/>
      <c r="N95" s="17">
        <f>IF(L91=4,0.6,N94)</f>
        <v>0.4</v>
      </c>
    </row>
    <row r="96" spans="1:14" ht="12.75" customHeight="1">
      <c r="A96" s="4"/>
      <c r="B96" s="4"/>
      <c r="C96" s="4"/>
      <c r="D96" s="4"/>
      <c r="E96" s="4"/>
      <c r="F96" s="4"/>
      <c r="G96" s="4"/>
      <c r="H96" s="4"/>
      <c r="I96" s="4"/>
      <c r="J96" s="4"/>
      <c r="K96" s="4"/>
      <c r="L96" s="23" t="s">
        <v>27</v>
      </c>
      <c r="M96" s="24"/>
      <c r="N96" s="18">
        <f>IF(L91=5,0.7,N95)</f>
        <v>0.4</v>
      </c>
    </row>
    <row r="97" spans="1:11" ht="12.75" customHeight="1">
      <c r="A97" s="4"/>
      <c r="B97" s="4"/>
      <c r="C97" s="4"/>
      <c r="D97" s="4"/>
      <c r="E97" s="4"/>
      <c r="F97" s="4"/>
      <c r="G97" s="4"/>
      <c r="H97" s="4"/>
      <c r="I97" s="4"/>
      <c r="J97" s="4"/>
      <c r="K97" s="4"/>
    </row>
    <row r="98" spans="1:11" ht="12.75" customHeight="1">
      <c r="A98" s="4"/>
      <c r="B98" s="4"/>
      <c r="C98" s="4"/>
      <c r="D98" s="4"/>
      <c r="E98" s="4"/>
      <c r="F98" s="4"/>
      <c r="G98" s="4"/>
      <c r="H98" s="4"/>
      <c r="I98" s="4"/>
      <c r="J98" s="4"/>
      <c r="K98" s="4"/>
    </row>
    <row r="99" spans="2:11" ht="12.75" customHeight="1" thickBot="1">
      <c r="B99" s="4"/>
      <c r="C99" s="4"/>
      <c r="D99" s="4"/>
      <c r="E99" s="4"/>
      <c r="F99" s="4"/>
      <c r="G99" s="4"/>
      <c r="H99" s="4"/>
      <c r="I99" s="4"/>
      <c r="J99" s="4"/>
      <c r="K99" s="4"/>
    </row>
    <row r="100" spans="1:14" ht="19.5" customHeight="1" thickBot="1">
      <c r="A100" s="4"/>
      <c r="B100" s="4" t="s">
        <v>34</v>
      </c>
      <c r="C100" s="4"/>
      <c r="D100" s="4"/>
      <c r="E100" s="4"/>
      <c r="F100" s="4"/>
      <c r="G100" s="357">
        <f>N100</f>
        <v>2</v>
      </c>
      <c r="H100" s="4"/>
      <c r="I100" s="379"/>
      <c r="J100" s="379"/>
      <c r="K100" s="4"/>
      <c r="M100" s="5" t="s">
        <v>503</v>
      </c>
      <c r="N100" s="217">
        <v>2</v>
      </c>
    </row>
    <row r="101" spans="1:11" ht="12.75" customHeight="1" thickBot="1">
      <c r="A101" s="4"/>
      <c r="B101" s="4"/>
      <c r="C101" s="4"/>
      <c r="D101" s="4"/>
      <c r="E101" s="4"/>
      <c r="F101" s="4"/>
      <c r="G101" s="4"/>
      <c r="H101" s="4"/>
      <c r="I101" s="4"/>
      <c r="J101" s="4"/>
      <c r="K101" s="4"/>
    </row>
    <row r="102" spans="1:11" ht="19.5" customHeight="1" thickBot="1">
      <c r="A102" s="4"/>
      <c r="B102" s="4"/>
      <c r="C102" s="4"/>
      <c r="D102" s="4"/>
      <c r="E102" s="4"/>
      <c r="F102" s="4"/>
      <c r="G102" s="4"/>
      <c r="H102" s="4"/>
      <c r="I102" s="4"/>
      <c r="J102" s="165" t="s">
        <v>254</v>
      </c>
      <c r="K102" s="166">
        <f>N96</f>
        <v>0.4</v>
      </c>
    </row>
    <row r="103" spans="1:11" ht="12.75" customHeight="1">
      <c r="A103" s="4"/>
      <c r="B103" s="4"/>
      <c r="C103" s="4"/>
      <c r="D103" s="4"/>
      <c r="E103" s="4"/>
      <c r="F103" s="4"/>
      <c r="G103" s="4"/>
      <c r="H103" s="4"/>
      <c r="I103" s="4"/>
      <c r="J103" s="4"/>
      <c r="K103" s="4"/>
    </row>
    <row r="104" spans="1:11" ht="12.75" customHeight="1">
      <c r="A104" s="3" t="s">
        <v>36</v>
      </c>
      <c r="B104" s="4"/>
      <c r="C104" s="4"/>
      <c r="D104" s="4"/>
      <c r="E104" s="4"/>
      <c r="F104" s="4"/>
      <c r="G104" s="4"/>
      <c r="H104" s="4"/>
      <c r="I104" s="4"/>
      <c r="J104" s="4"/>
      <c r="K104" s="4"/>
    </row>
    <row r="105" spans="1:16" ht="12.75" customHeight="1">
      <c r="A105" s="4"/>
      <c r="B105" s="4"/>
      <c r="C105" s="4"/>
      <c r="D105" s="4"/>
      <c r="E105" s="4"/>
      <c r="F105" s="4"/>
      <c r="G105" s="4"/>
      <c r="H105" s="4"/>
      <c r="I105" s="4"/>
      <c r="J105" s="4"/>
      <c r="K105" s="4"/>
      <c r="L105" s="34">
        <v>2</v>
      </c>
      <c r="P105" s="29"/>
    </row>
    <row r="106" spans="1:14" ht="12.75" customHeight="1">
      <c r="A106" s="4"/>
      <c r="B106" s="4"/>
      <c r="C106" s="4"/>
      <c r="D106" s="4"/>
      <c r="E106" s="4"/>
      <c r="F106" s="4"/>
      <c r="G106" s="4"/>
      <c r="H106" s="4"/>
      <c r="I106" s="4"/>
      <c r="J106" s="4"/>
      <c r="K106" s="4"/>
      <c r="L106" s="21" t="s">
        <v>41</v>
      </c>
      <c r="M106" s="19"/>
      <c r="N106" s="16"/>
    </row>
    <row r="107" spans="1:14" ht="12.75" customHeight="1">
      <c r="A107" s="4"/>
      <c r="B107" s="4"/>
      <c r="C107" s="4"/>
      <c r="D107" s="4"/>
      <c r="E107" s="4"/>
      <c r="F107" s="4"/>
      <c r="G107" s="4"/>
      <c r="H107" s="4"/>
      <c r="I107" s="4"/>
      <c r="J107" s="4"/>
      <c r="K107" s="4"/>
      <c r="L107" s="25">
        <v>1</v>
      </c>
      <c r="M107" s="20"/>
      <c r="N107" s="17">
        <f>IF(L105=2,0,0.3)</f>
        <v>0</v>
      </c>
    </row>
    <row r="108" spans="1:14" ht="12.75" customHeight="1">
      <c r="A108" s="4"/>
      <c r="B108" s="4"/>
      <c r="C108" s="4"/>
      <c r="D108" s="4"/>
      <c r="E108" s="4"/>
      <c r="F108" s="4"/>
      <c r="G108" s="4"/>
      <c r="H108" s="4"/>
      <c r="I108" s="4"/>
      <c r="J108" s="4"/>
      <c r="K108" s="4"/>
      <c r="L108" s="25">
        <v>2</v>
      </c>
      <c r="M108" s="20"/>
      <c r="N108" s="17">
        <f>IF(L105=3,0.2,N107)</f>
        <v>0</v>
      </c>
    </row>
    <row r="109" spans="1:14" ht="12.75" customHeight="1">
      <c r="A109" s="4"/>
      <c r="B109" s="4"/>
      <c r="C109" s="4"/>
      <c r="D109" s="4"/>
      <c r="E109" s="4"/>
      <c r="F109" s="4"/>
      <c r="G109" s="4"/>
      <c r="H109" s="4"/>
      <c r="I109" s="4"/>
      <c r="J109" s="4"/>
      <c r="K109" s="4"/>
      <c r="L109" s="25" t="s">
        <v>28</v>
      </c>
      <c r="M109" s="20"/>
      <c r="N109" s="17">
        <f>IF(L105=4,0.3,N108)</f>
        <v>0</v>
      </c>
    </row>
    <row r="110" spans="1:14" ht="12.75" customHeight="1">
      <c r="A110" s="4"/>
      <c r="B110" s="4"/>
      <c r="C110" s="4"/>
      <c r="D110" s="4"/>
      <c r="E110" s="4"/>
      <c r="F110" s="4"/>
      <c r="G110" s="4"/>
      <c r="H110" s="4"/>
      <c r="I110" s="4"/>
      <c r="J110" s="4"/>
      <c r="K110" s="4"/>
      <c r="L110" s="25">
        <v>3</v>
      </c>
      <c r="M110" s="20"/>
      <c r="N110" s="17">
        <f>IF(L105=5,0.5,N109)</f>
        <v>0</v>
      </c>
    </row>
    <row r="111" spans="1:14" ht="12.75" customHeight="1" thickBot="1">
      <c r="A111" s="4"/>
      <c r="B111" s="4"/>
      <c r="C111" s="4"/>
      <c r="D111" s="4"/>
      <c r="E111" s="4"/>
      <c r="F111" s="4"/>
      <c r="G111" s="4"/>
      <c r="H111" s="4"/>
      <c r="I111" s="4"/>
      <c r="J111" s="4"/>
      <c r="K111" s="4"/>
      <c r="L111" s="26" t="s">
        <v>29</v>
      </c>
      <c r="M111" s="24"/>
      <c r="N111" s="18">
        <f>IF(L105=6,0.6,N110)</f>
        <v>0</v>
      </c>
    </row>
    <row r="112" spans="1:11" ht="19.5" customHeight="1" thickBot="1">
      <c r="A112" s="4"/>
      <c r="B112" s="4"/>
      <c r="C112" s="27">
        <f>IF(L105=1,"Classification IQOA demandée !","")</f>
      </c>
      <c r="D112" s="4"/>
      <c r="E112" s="4"/>
      <c r="F112" s="4"/>
      <c r="G112" s="4"/>
      <c r="H112" s="4"/>
      <c r="I112" s="4"/>
      <c r="J112" s="165" t="s">
        <v>255</v>
      </c>
      <c r="K112" s="166">
        <f>N111</f>
        <v>0</v>
      </c>
    </row>
    <row r="113" spans="1:11" ht="12.75" customHeight="1">
      <c r="A113" s="4"/>
      <c r="B113" s="4"/>
      <c r="C113" s="4"/>
      <c r="D113" s="4"/>
      <c r="E113" s="4"/>
      <c r="F113" s="4"/>
      <c r="G113" s="4"/>
      <c r="H113" s="4"/>
      <c r="I113" s="4"/>
      <c r="J113" s="4"/>
      <c r="K113" s="4"/>
    </row>
    <row r="114" spans="1:11" ht="12.75" customHeight="1" thickBot="1">
      <c r="A114" s="4"/>
      <c r="B114" s="4"/>
      <c r="C114" s="4"/>
      <c r="D114" s="4"/>
      <c r="E114" s="4"/>
      <c r="F114" s="4"/>
      <c r="G114" s="4"/>
      <c r="H114" s="4"/>
      <c r="I114" s="4"/>
      <c r="J114" s="4"/>
      <c r="K114" s="4"/>
    </row>
    <row r="115" spans="1:11" ht="24.75" customHeight="1" thickBot="1" thickTop="1">
      <c r="A115" s="4"/>
      <c r="B115" s="4"/>
      <c r="C115" s="4"/>
      <c r="D115" s="4"/>
      <c r="E115" s="4"/>
      <c r="F115" s="4"/>
      <c r="G115" s="237"/>
      <c r="H115" s="4"/>
      <c r="I115" s="377" t="s">
        <v>33</v>
      </c>
      <c r="J115" s="378"/>
      <c r="K115" s="223">
        <f>IF(OR(K88="",K102="",K112=""),"",K88*(2*K102+K112)/2)</f>
      </c>
    </row>
    <row r="116" spans="1:11" ht="12.75" customHeight="1" thickTop="1">
      <c r="A116" s="4"/>
      <c r="B116" s="4"/>
      <c r="C116" s="4"/>
      <c r="D116" s="4"/>
      <c r="E116" s="4"/>
      <c r="F116" s="4"/>
      <c r="G116" s="238"/>
      <c r="H116" s="4"/>
      <c r="I116" s="4"/>
      <c r="J116" s="4"/>
      <c r="K116" s="4"/>
    </row>
    <row r="117" spans="1:11" ht="12.75" customHeight="1">
      <c r="A117" s="3" t="s">
        <v>530</v>
      </c>
      <c r="B117" s="4"/>
      <c r="C117" s="4"/>
      <c r="D117" s="4"/>
      <c r="E117" s="4"/>
      <c r="F117" s="4"/>
      <c r="G117" s="238"/>
      <c r="H117" s="4"/>
      <c r="I117" s="4"/>
      <c r="J117" s="4"/>
      <c r="K117" s="4"/>
    </row>
    <row r="118" spans="1:13" ht="12.75" customHeight="1" thickBot="1">
      <c r="A118" s="4"/>
      <c r="B118" s="4"/>
      <c r="C118" s="4"/>
      <c r="D118" s="4"/>
      <c r="E118" s="4"/>
      <c r="F118" s="4"/>
      <c r="G118" s="238"/>
      <c r="H118" s="4"/>
      <c r="I118" s="4"/>
      <c r="J118" s="4"/>
      <c r="K118" s="4"/>
      <c r="M118" s="138"/>
    </row>
    <row r="119" spans="1:17" ht="19.5" customHeight="1" thickTop="1">
      <c r="A119" s="4"/>
      <c r="B119" s="163" t="s">
        <v>177</v>
      </c>
      <c r="C119" s="163" t="s">
        <v>276</v>
      </c>
      <c r="D119" s="163" t="s">
        <v>209</v>
      </c>
      <c r="E119" s="163" t="s">
        <v>210</v>
      </c>
      <c r="F119" s="163" t="s">
        <v>211</v>
      </c>
      <c r="G119" s="239"/>
      <c r="H119" s="4"/>
      <c r="I119" s="370" t="s">
        <v>335</v>
      </c>
      <c r="J119" s="371"/>
      <c r="K119" s="374" t="e">
        <f>Général!$N$120</f>
        <v>#VALUE!</v>
      </c>
      <c r="L119" s="126"/>
      <c r="M119" s="126"/>
      <c r="N119" s="126"/>
      <c r="O119" s="126"/>
      <c r="P119" s="126"/>
      <c r="Q119" s="126"/>
    </row>
    <row r="120" spans="1:52" s="125" customFormat="1" ht="24.75" customHeight="1" thickBot="1">
      <c r="A120" s="13"/>
      <c r="B120" s="164">
        <f>Résumé!$C$5</f>
      </c>
      <c r="C120" s="164" t="str">
        <f>IF(AND(Général!$L$91&gt;1,Général!$L$91&lt;5)," -",IF(Résumé!$C$6="","",Résumé!$C$6))</f>
        <v> -</v>
      </c>
      <c r="D120" s="164">
        <f>IF(OR(Général!$L$91=2,Général!$L$91=5)," -",IF(Résumé!$C$10="","",Résumé!$C$10))</f>
      </c>
      <c r="E120" s="164">
        <f>IF(Général!$L$91=5," -",IF(Résumé!$C$13="","",Résumé!$C$13))</f>
      </c>
      <c r="F120" s="164">
        <f>IF(OR(Général!$L$91=2,Général!$L$91=5,Général!$G$100=1)," -",IF(Résumé!$C$16="","",Résumé!$C$16))</f>
        <v>0</v>
      </c>
      <c r="G120" s="240"/>
      <c r="H120" s="13"/>
      <c r="I120" s="372"/>
      <c r="J120" s="373"/>
      <c r="K120" s="375"/>
      <c r="L120" s="140">
        <f>IF(L91=5,B120*C120,"")</f>
      </c>
      <c r="M120" s="139">
        <f>IF(L91=2,B120*E120,L120)</f>
      </c>
      <c r="N120" s="129" t="e">
        <f>IF(OR(L91=3,L91=4),B120*MAX(D120,E120,F120),M120)</f>
        <v>#VALUE!</v>
      </c>
      <c r="AC120"/>
      <c r="AD120"/>
      <c r="AE120"/>
      <c r="AF120"/>
      <c r="AG120"/>
      <c r="AH120"/>
      <c r="AI120"/>
      <c r="AJ120"/>
      <c r="AK120"/>
      <c r="AL120"/>
      <c r="AM120"/>
      <c r="AN120"/>
      <c r="AO120"/>
      <c r="AP120"/>
      <c r="AQ120"/>
      <c r="AR120"/>
      <c r="AS120"/>
      <c r="AT120"/>
      <c r="AU120"/>
      <c r="AV120"/>
      <c r="AW120"/>
      <c r="AX120"/>
      <c r="AY120"/>
      <c r="AZ120"/>
    </row>
    <row r="121" spans="1:15" ht="12.75" customHeight="1" thickTop="1">
      <c r="A121" s="4"/>
      <c r="B121" s="4"/>
      <c r="C121" s="4"/>
      <c r="D121" s="4"/>
      <c r="E121" s="4"/>
      <c r="F121" s="4"/>
      <c r="G121" s="238"/>
      <c r="H121" s="4"/>
      <c r="I121" s="4"/>
      <c r="J121" s="4"/>
      <c r="K121" s="4"/>
      <c r="L121" s="21">
        <f>IF(AND(L105=1,OR(Env!L78=4,Env!L90=4)),"Classification IQOA et expertise géologique demandées !","")</f>
      </c>
      <c r="M121" s="130"/>
      <c r="N121" s="130"/>
      <c r="O121" s="19"/>
    </row>
    <row r="122" spans="1:15" ht="15.75" customHeight="1">
      <c r="A122" s="367"/>
      <c r="B122" s="367"/>
      <c r="C122" s="160"/>
      <c r="D122" s="4"/>
      <c r="E122" s="4"/>
      <c r="F122" s="4"/>
      <c r="G122" s="4"/>
      <c r="H122" s="4"/>
      <c r="I122" s="4"/>
      <c r="J122" s="4"/>
      <c r="K122" s="4"/>
      <c r="L122" s="22">
        <f>IF(AND(L105=1,Env!L78&lt;4,Env!L90&lt;4),"Classification IQOA demandée !",L121)</f>
      </c>
      <c r="M122" s="131"/>
      <c r="N122" s="131"/>
      <c r="O122" s="20"/>
    </row>
    <row r="123" spans="1:15" ht="15.75" customHeight="1">
      <c r="A123" s="41"/>
      <c r="B123" s="41"/>
      <c r="C123" s="160"/>
      <c r="D123" s="4"/>
      <c r="E123" s="4"/>
      <c r="F123" s="4"/>
      <c r="G123" s="4"/>
      <c r="H123" s="4"/>
      <c r="I123" s="4"/>
      <c r="J123" s="4"/>
      <c r="K123" s="4"/>
      <c r="L123" s="22"/>
      <c r="M123" s="131"/>
      <c r="N123" s="131"/>
      <c r="O123" s="20"/>
    </row>
    <row r="124" spans="1:15" ht="15.75" customHeight="1">
      <c r="A124" s="3" t="s">
        <v>529</v>
      </c>
      <c r="B124" s="41"/>
      <c r="C124" s="160"/>
      <c r="D124" s="4"/>
      <c r="E124" s="4"/>
      <c r="F124" s="4"/>
      <c r="G124" s="4"/>
      <c r="H124" s="4"/>
      <c r="I124" s="4"/>
      <c r="J124" s="4"/>
      <c r="K124" s="4"/>
      <c r="L124" s="22"/>
      <c r="M124" s="131" t="s">
        <v>518</v>
      </c>
      <c r="N124" s="131" t="e">
        <f>4.51*EXP(-2.28*K119)</f>
        <v>#VALUE!</v>
      </c>
      <c r="O124" s="20" t="s">
        <v>516</v>
      </c>
    </row>
    <row r="125" spans="1:15" ht="15.75" customHeight="1">
      <c r="A125" s="41"/>
      <c r="B125" s="41"/>
      <c r="C125" s="160"/>
      <c r="D125" s="4"/>
      <c r="E125" s="4"/>
      <c r="F125" s="4"/>
      <c r="G125" s="4"/>
      <c r="H125" s="4"/>
      <c r="I125" s="4"/>
      <c r="J125" s="4"/>
      <c r="K125" s="4"/>
      <c r="L125" s="22"/>
      <c r="M125" s="131"/>
      <c r="N125" s="131"/>
      <c r="O125" s="20"/>
    </row>
    <row r="126" spans="1:15" ht="15.75" customHeight="1">
      <c r="A126" s="3" t="s">
        <v>515</v>
      </c>
      <c r="B126" s="41"/>
      <c r="C126" s="160"/>
      <c r="D126" s="4"/>
      <c r="E126" s="4"/>
      <c r="F126" s="4"/>
      <c r="G126" s="4"/>
      <c r="H126" s="4"/>
      <c r="I126" s="4"/>
      <c r="J126" s="4"/>
      <c r="K126" s="4"/>
      <c r="L126" s="22"/>
      <c r="M126" s="131"/>
      <c r="N126" s="131"/>
      <c r="O126" s="20"/>
    </row>
    <row r="127" spans="1:15" ht="15.75" customHeight="1" thickBot="1">
      <c r="A127" s="41"/>
      <c r="B127" s="41"/>
      <c r="C127" s="160"/>
      <c r="D127" s="4"/>
      <c r="E127" s="4"/>
      <c r="F127" s="4"/>
      <c r="G127" s="4"/>
      <c r="H127" s="4"/>
      <c r="I127" s="4"/>
      <c r="J127" s="4"/>
      <c r="K127" s="4"/>
      <c r="L127" s="22"/>
      <c r="M127" s="131"/>
      <c r="N127" s="131"/>
      <c r="O127" s="20"/>
    </row>
    <row r="128" spans="1:15" ht="18.75" customHeight="1" thickBot="1" thickTop="1">
      <c r="A128" s="41"/>
      <c r="B128" s="41"/>
      <c r="C128" s="160"/>
      <c r="D128" s="361" t="s">
        <v>533</v>
      </c>
      <c r="E128" s="33"/>
      <c r="F128" s="4" t="s">
        <v>517</v>
      </c>
      <c r="G128" s="358" t="s">
        <v>527</v>
      </c>
      <c r="H128" s="360" t="e">
        <f>$K$119</f>
        <v>#VALUE!</v>
      </c>
      <c r="J128" s="358" t="s">
        <v>528</v>
      </c>
      <c r="K128" s="359">
        <f>IF(E128&gt;0,MIN(1,MAX(0.703*LN(E128/N124)+0.5057,0)),0)</f>
        <v>0</v>
      </c>
      <c r="L128" s="131"/>
      <c r="M128" s="131"/>
      <c r="N128" s="131"/>
      <c r="O128" s="20"/>
    </row>
    <row r="129" spans="1:15" ht="15.75" customHeight="1">
      <c r="A129" s="41"/>
      <c r="B129" s="41"/>
      <c r="C129" s="160"/>
      <c r="D129" s="4"/>
      <c r="E129" s="4"/>
      <c r="F129" s="4"/>
      <c r="G129" s="4"/>
      <c r="H129" s="4"/>
      <c r="I129" s="4"/>
      <c r="J129" s="4"/>
      <c r="K129" s="4"/>
      <c r="L129" s="22"/>
      <c r="M129" s="131"/>
      <c r="N129" s="131"/>
      <c r="O129" s="20"/>
    </row>
    <row r="130" spans="1:15" ht="15.75" customHeight="1">
      <c r="A130" s="41"/>
      <c r="B130" s="41"/>
      <c r="C130" s="160"/>
      <c r="D130" s="4"/>
      <c r="E130" s="4"/>
      <c r="F130" s="4"/>
      <c r="G130" s="4"/>
      <c r="H130" s="4"/>
      <c r="I130" s="4"/>
      <c r="J130" s="4"/>
      <c r="K130" s="4"/>
      <c r="L130" s="22"/>
      <c r="M130" s="131"/>
      <c r="N130" s="131"/>
      <c r="O130" s="20"/>
    </row>
    <row r="131" spans="1:15" ht="15.75" customHeight="1">
      <c r="A131" s="3" t="s">
        <v>519</v>
      </c>
      <c r="B131" s="41"/>
      <c r="C131" s="160"/>
      <c r="D131" s="4"/>
      <c r="E131" s="4"/>
      <c r="F131" s="4"/>
      <c r="G131" s="4"/>
      <c r="H131" s="4"/>
      <c r="I131" s="4"/>
      <c r="J131" s="4"/>
      <c r="K131" s="4"/>
      <c r="L131" s="22"/>
      <c r="M131" s="131"/>
      <c r="N131" s="131"/>
      <c r="O131" s="20"/>
    </row>
    <row r="132" spans="1:15" ht="15.75" customHeight="1" thickBot="1">
      <c r="A132" s="41"/>
      <c r="B132" s="41"/>
      <c r="C132" s="160"/>
      <c r="D132" s="4"/>
      <c r="E132" s="4"/>
      <c r="F132" s="4"/>
      <c r="G132" s="4"/>
      <c r="H132" s="4"/>
      <c r="I132" s="4"/>
      <c r="J132" s="4"/>
      <c r="K132" s="4"/>
      <c r="L132" s="22"/>
      <c r="M132" s="131"/>
      <c r="N132" s="131"/>
      <c r="O132" s="20"/>
    </row>
    <row r="133" spans="1:15" ht="18.75" customHeight="1" thickBot="1" thickTop="1">
      <c r="A133" s="41"/>
      <c r="B133" s="41"/>
      <c r="C133" s="160"/>
      <c r="D133" s="361" t="s">
        <v>532</v>
      </c>
      <c r="E133" s="33"/>
      <c r="F133" s="4" t="s">
        <v>517</v>
      </c>
      <c r="G133" s="358" t="s">
        <v>523</v>
      </c>
      <c r="H133" s="360">
        <f>Env!$K$19</f>
        <v>1</v>
      </c>
      <c r="I133" s="5"/>
      <c r="J133" s="358" t="s">
        <v>524</v>
      </c>
      <c r="K133" s="359">
        <f>IF(E128&gt;0,MIN(1,MAX(0,H133*(0.703*LN(E128/E133)+0.5057))),0)</f>
        <v>0</v>
      </c>
      <c r="L133" s="131"/>
      <c r="M133" s="131"/>
      <c r="N133" s="131"/>
      <c r="O133" s="20"/>
    </row>
    <row r="134" spans="1:15" ht="15.75" customHeight="1">
      <c r="A134" s="41"/>
      <c r="B134" s="41"/>
      <c r="C134" s="160"/>
      <c r="D134" s="4"/>
      <c r="E134" s="4"/>
      <c r="F134" s="4"/>
      <c r="G134" s="4"/>
      <c r="H134" s="4"/>
      <c r="I134" s="4"/>
      <c r="J134" s="4"/>
      <c r="K134" s="4"/>
      <c r="L134" s="22"/>
      <c r="M134" s="131"/>
      <c r="N134" s="131"/>
      <c r="O134" s="20"/>
    </row>
    <row r="135" spans="1:15" ht="15.75" customHeight="1">
      <c r="A135" s="3" t="s">
        <v>520</v>
      </c>
      <c r="B135" s="41"/>
      <c r="C135" s="160"/>
      <c r="D135" s="4"/>
      <c r="E135" s="4"/>
      <c r="F135" s="4"/>
      <c r="G135" s="4"/>
      <c r="H135" s="4"/>
      <c r="I135" s="4"/>
      <c r="J135" s="4"/>
      <c r="K135" s="4"/>
      <c r="L135" s="22"/>
      <c r="M135" s="131"/>
      <c r="N135" s="131"/>
      <c r="O135" s="20"/>
    </row>
    <row r="136" spans="1:15" ht="15.75" customHeight="1" thickBot="1">
      <c r="A136" s="41"/>
      <c r="B136" s="41"/>
      <c r="C136" s="160"/>
      <c r="D136" s="4"/>
      <c r="E136" s="4"/>
      <c r="F136" s="4"/>
      <c r="G136" s="4"/>
      <c r="H136" s="4"/>
      <c r="I136" s="4"/>
      <c r="J136" s="4"/>
      <c r="K136" s="4"/>
      <c r="L136" s="22"/>
      <c r="M136" s="131"/>
      <c r="N136" s="131"/>
      <c r="O136" s="20"/>
    </row>
    <row r="137" spans="1:15" ht="18.75" customHeight="1" thickBot="1" thickTop="1">
      <c r="A137" s="41"/>
      <c r="B137" s="41"/>
      <c r="C137" s="160"/>
      <c r="D137" s="361" t="s">
        <v>532</v>
      </c>
      <c r="E137" s="33"/>
      <c r="F137" s="4" t="s">
        <v>517</v>
      </c>
      <c r="G137" s="358" t="s">
        <v>521</v>
      </c>
      <c r="H137" s="360">
        <f>Env!$K$23</f>
        <v>1</v>
      </c>
      <c r="I137" s="5"/>
      <c r="J137" s="358" t="s">
        <v>525</v>
      </c>
      <c r="K137" s="359">
        <f>IF(E128&gt;0,MIN(1,MAX(0,H137*(0.703*LN(E128/E137)+0.5057))),0)</f>
        <v>0</v>
      </c>
      <c r="L137" s="131"/>
      <c r="M137" s="131"/>
      <c r="N137" s="131"/>
      <c r="O137" s="20"/>
    </row>
    <row r="138" spans="1:15" ht="15.75" customHeight="1">
      <c r="A138" s="41"/>
      <c r="B138" s="41"/>
      <c r="C138" s="160"/>
      <c r="D138" s="4"/>
      <c r="E138" s="4"/>
      <c r="F138" s="4"/>
      <c r="G138" s="4"/>
      <c r="H138" s="4"/>
      <c r="I138" s="4"/>
      <c r="J138" s="4"/>
      <c r="K138" s="4"/>
      <c r="L138" s="22"/>
      <c r="M138" s="131"/>
      <c r="N138" s="131"/>
      <c r="O138" s="20"/>
    </row>
    <row r="139" spans="1:15" ht="15.75" customHeight="1">
      <c r="A139" s="3" t="s">
        <v>531</v>
      </c>
      <c r="B139" s="41"/>
      <c r="C139" s="160"/>
      <c r="D139" s="4"/>
      <c r="E139" s="4"/>
      <c r="F139" s="4"/>
      <c r="G139" s="4"/>
      <c r="H139" s="4"/>
      <c r="I139" s="4"/>
      <c r="J139" s="4"/>
      <c r="K139" s="4"/>
      <c r="L139" s="22"/>
      <c r="M139" s="131"/>
      <c r="N139" s="131"/>
      <c r="O139" s="20"/>
    </row>
    <row r="140" spans="1:15" ht="15.75" customHeight="1" thickBot="1">
      <c r="A140" s="41"/>
      <c r="B140" s="41"/>
      <c r="C140" s="160"/>
      <c r="D140" s="4"/>
      <c r="E140" s="4"/>
      <c r="F140" s="4"/>
      <c r="G140" s="4"/>
      <c r="H140" s="4"/>
      <c r="I140" s="4"/>
      <c r="J140" s="4"/>
      <c r="K140" s="4"/>
      <c r="L140" s="22"/>
      <c r="M140" s="131"/>
      <c r="N140" s="131"/>
      <c r="O140" s="20"/>
    </row>
    <row r="141" spans="1:15" ht="18.75" customHeight="1" thickBot="1" thickTop="1">
      <c r="A141" s="41"/>
      <c r="B141" s="41"/>
      <c r="C141" s="160"/>
      <c r="D141" s="361" t="s">
        <v>532</v>
      </c>
      <c r="E141" s="33"/>
      <c r="F141" s="4" t="s">
        <v>517</v>
      </c>
      <c r="G141" s="358" t="s">
        <v>522</v>
      </c>
      <c r="H141" s="360">
        <f>Env!$K$86</f>
        <v>0.7</v>
      </c>
      <c r="I141" s="5"/>
      <c r="J141" s="358" t="s">
        <v>526</v>
      </c>
      <c r="K141" s="359">
        <f>IF(E128&gt;0,MIN(1,MAX(0,H141*(0.703*LN(E128/E141)+0.5057))),0)</f>
        <v>0</v>
      </c>
      <c r="L141" s="131"/>
      <c r="M141" s="131"/>
      <c r="N141" s="131"/>
      <c r="O141" s="20"/>
    </row>
    <row r="142" spans="1:15" ht="15.75" customHeight="1">
      <c r="A142" s="41"/>
      <c r="B142" s="41"/>
      <c r="C142" s="160"/>
      <c r="D142" s="4"/>
      <c r="E142" s="4"/>
      <c r="F142" s="4"/>
      <c r="G142" s="4"/>
      <c r="H142" s="4"/>
      <c r="I142" s="4"/>
      <c r="J142" s="4"/>
      <c r="K142" s="4"/>
      <c r="L142" s="22"/>
      <c r="M142" s="131"/>
      <c r="N142" s="131"/>
      <c r="O142" s="20"/>
    </row>
    <row r="143" spans="1:15" ht="15.75" customHeight="1">
      <c r="A143" s="41"/>
      <c r="B143" s="41"/>
      <c r="C143" s="160"/>
      <c r="D143" s="4"/>
      <c r="E143" s="4"/>
      <c r="F143" s="4"/>
      <c r="G143" s="4"/>
      <c r="H143" s="4"/>
      <c r="I143" s="4"/>
      <c r="J143" s="4"/>
      <c r="K143" s="4"/>
      <c r="L143" s="22"/>
      <c r="M143" s="131"/>
      <c r="N143" s="131"/>
      <c r="O143" s="20"/>
    </row>
    <row r="144" spans="1:15" ht="15.75" customHeight="1">
      <c r="A144" s="41"/>
      <c r="B144" s="41"/>
      <c r="C144" s="160"/>
      <c r="D144" s="4"/>
      <c r="E144" s="4"/>
      <c r="F144" s="4"/>
      <c r="G144" s="4"/>
      <c r="H144" s="4"/>
      <c r="I144" s="4"/>
      <c r="J144" s="4"/>
      <c r="K144" s="4"/>
      <c r="L144" s="22"/>
      <c r="M144" s="131"/>
      <c r="N144" s="131"/>
      <c r="O144" s="20"/>
    </row>
    <row r="145" spans="1:15" ht="15.75" customHeight="1">
      <c r="A145" s="41"/>
      <c r="B145" s="41"/>
      <c r="C145" s="160"/>
      <c r="D145" s="4"/>
      <c r="E145" s="4"/>
      <c r="F145" s="4"/>
      <c r="G145" s="4"/>
      <c r="H145" s="4"/>
      <c r="I145" s="4"/>
      <c r="J145" s="4"/>
      <c r="K145" s="4"/>
      <c r="L145" s="22"/>
      <c r="M145" s="131"/>
      <c r="N145" s="131"/>
      <c r="O145" s="20"/>
    </row>
    <row r="146" spans="1:15" ht="15.75" customHeight="1">
      <c r="A146" s="41"/>
      <c r="B146" s="41"/>
      <c r="C146" s="160"/>
      <c r="D146" s="4"/>
      <c r="E146" s="4"/>
      <c r="F146" s="4"/>
      <c r="G146" s="4"/>
      <c r="H146" s="4"/>
      <c r="I146" s="4"/>
      <c r="J146" s="4"/>
      <c r="K146" s="4"/>
      <c r="L146" s="22"/>
      <c r="M146" s="131"/>
      <c r="N146" s="131"/>
      <c r="O146" s="20"/>
    </row>
    <row r="147" spans="1:15" ht="15.75" customHeight="1">
      <c r="A147" s="41"/>
      <c r="B147" s="41"/>
      <c r="C147" s="160"/>
      <c r="D147" s="4"/>
      <c r="E147" s="4"/>
      <c r="F147" s="4"/>
      <c r="G147" s="4"/>
      <c r="H147" s="4"/>
      <c r="I147" s="4"/>
      <c r="J147" s="4"/>
      <c r="K147" s="4"/>
      <c r="L147" s="22"/>
      <c r="M147" s="131"/>
      <c r="N147" s="131"/>
      <c r="O147" s="20"/>
    </row>
    <row r="148" spans="1:15" ht="15.75" customHeight="1">
      <c r="A148" s="41"/>
      <c r="B148" s="41"/>
      <c r="C148" s="160"/>
      <c r="D148" s="4"/>
      <c r="E148" s="4"/>
      <c r="F148" s="4"/>
      <c r="G148" s="4"/>
      <c r="H148" s="4"/>
      <c r="I148" s="4"/>
      <c r="J148" s="4"/>
      <c r="K148" s="4"/>
      <c r="L148" s="22"/>
      <c r="M148" s="131"/>
      <c r="N148" s="131"/>
      <c r="O148" s="20"/>
    </row>
    <row r="149" spans="1:15" ht="15.75" customHeight="1">
      <c r="A149" s="41"/>
      <c r="B149" s="41"/>
      <c r="C149" s="160"/>
      <c r="D149" s="4"/>
      <c r="E149" s="4"/>
      <c r="F149" s="4"/>
      <c r="G149" s="4"/>
      <c r="H149" s="4"/>
      <c r="I149" s="4"/>
      <c r="J149" s="4"/>
      <c r="K149" s="4"/>
      <c r="L149" s="22"/>
      <c r="M149" s="131"/>
      <c r="N149" s="131"/>
      <c r="O149" s="20"/>
    </row>
    <row r="150" spans="1:15" ht="15.75" customHeight="1">
      <c r="A150" s="41"/>
      <c r="B150" s="41"/>
      <c r="C150" s="160"/>
      <c r="D150" s="4"/>
      <c r="E150" s="4"/>
      <c r="F150" s="4"/>
      <c r="G150" s="4"/>
      <c r="H150" s="4"/>
      <c r="I150" s="4"/>
      <c r="J150" s="4"/>
      <c r="K150" s="4"/>
      <c r="L150" s="22"/>
      <c r="M150" s="131"/>
      <c r="N150" s="131"/>
      <c r="O150" s="20"/>
    </row>
    <row r="151" spans="1:15" ht="15.75" customHeight="1">
      <c r="A151" s="41"/>
      <c r="B151" s="41"/>
      <c r="C151" s="160"/>
      <c r="D151" s="4"/>
      <c r="E151" s="4"/>
      <c r="F151" s="4"/>
      <c r="G151" s="4"/>
      <c r="H151" s="4"/>
      <c r="I151" s="4"/>
      <c r="J151" s="4"/>
      <c r="K151" s="4"/>
      <c r="L151" s="22"/>
      <c r="M151" s="131"/>
      <c r="N151" s="131"/>
      <c r="O151" s="20"/>
    </row>
    <row r="152" spans="1:15" ht="15.75" customHeight="1">
      <c r="A152" s="41"/>
      <c r="B152" s="41"/>
      <c r="C152" s="160"/>
      <c r="D152" s="4"/>
      <c r="E152" s="4"/>
      <c r="F152" s="4"/>
      <c r="G152" s="4"/>
      <c r="H152" s="4"/>
      <c r="I152" s="4"/>
      <c r="J152" s="4"/>
      <c r="K152" s="4"/>
      <c r="L152" s="22"/>
      <c r="M152" s="131"/>
      <c r="N152" s="131"/>
      <c r="O152" s="20"/>
    </row>
    <row r="153" spans="1:15" ht="15.75" customHeight="1">
      <c r="A153" s="41"/>
      <c r="B153" s="41"/>
      <c r="C153" s="160"/>
      <c r="D153" s="4"/>
      <c r="E153" s="4"/>
      <c r="F153" s="4"/>
      <c r="G153" s="4"/>
      <c r="H153" s="4"/>
      <c r="I153" s="4"/>
      <c r="J153" s="4"/>
      <c r="K153" s="4"/>
      <c r="L153" s="22"/>
      <c r="M153" s="131"/>
      <c r="N153" s="131"/>
      <c r="O153" s="20"/>
    </row>
    <row r="154" spans="1:15" ht="15.75" customHeight="1">
      <c r="A154" s="41"/>
      <c r="B154" s="41"/>
      <c r="C154" s="160"/>
      <c r="D154" s="4"/>
      <c r="E154" s="4"/>
      <c r="F154" s="4"/>
      <c r="G154" s="4"/>
      <c r="H154" s="4"/>
      <c r="I154" s="4"/>
      <c r="J154" s="4"/>
      <c r="K154" s="4"/>
      <c r="L154" s="22"/>
      <c r="M154" s="131"/>
      <c r="N154" s="131"/>
      <c r="O154" s="20"/>
    </row>
    <row r="155" spans="1:15" ht="15.75" customHeight="1">
      <c r="A155" s="41"/>
      <c r="B155" s="41"/>
      <c r="C155" s="160"/>
      <c r="D155" s="4"/>
      <c r="E155" s="4"/>
      <c r="F155" s="4"/>
      <c r="G155" s="4"/>
      <c r="H155" s="4"/>
      <c r="I155" s="4"/>
      <c r="J155" s="4"/>
      <c r="K155" s="4"/>
      <c r="L155" s="22"/>
      <c r="M155" s="131"/>
      <c r="N155" s="131"/>
      <c r="O155" s="20"/>
    </row>
    <row r="156" spans="1:15" ht="15.75" customHeight="1">
      <c r="A156" s="41"/>
      <c r="B156" s="41"/>
      <c r="C156" s="160"/>
      <c r="D156" s="4"/>
      <c r="E156" s="4"/>
      <c r="F156" s="4"/>
      <c r="G156" s="4"/>
      <c r="H156" s="4"/>
      <c r="I156" s="4"/>
      <c r="J156" s="4"/>
      <c r="K156" s="4"/>
      <c r="L156" s="22"/>
      <c r="M156" s="131"/>
      <c r="N156" s="131"/>
      <c r="O156" s="20"/>
    </row>
    <row r="157" spans="1:15" ht="15.75" customHeight="1">
      <c r="A157" s="41"/>
      <c r="B157" s="41"/>
      <c r="C157" s="160"/>
      <c r="D157" s="4"/>
      <c r="E157" s="4"/>
      <c r="F157" s="4"/>
      <c r="G157" s="4"/>
      <c r="H157" s="4"/>
      <c r="I157" s="4"/>
      <c r="J157" s="4"/>
      <c r="K157" s="4"/>
      <c r="L157" s="22"/>
      <c r="M157" s="131"/>
      <c r="N157" s="131"/>
      <c r="O157" s="20"/>
    </row>
    <row r="158" spans="1:15" ht="15.75" customHeight="1">
      <c r="A158" s="41"/>
      <c r="B158" s="41"/>
      <c r="C158" s="160"/>
      <c r="D158" s="4"/>
      <c r="E158" s="4"/>
      <c r="F158" s="4"/>
      <c r="G158" s="4"/>
      <c r="H158" s="4"/>
      <c r="I158" s="4"/>
      <c r="J158" s="4"/>
      <c r="K158" s="4"/>
      <c r="L158" s="22"/>
      <c r="M158" s="131"/>
      <c r="N158" s="131"/>
      <c r="O158" s="20"/>
    </row>
    <row r="159" spans="1:15" ht="15.75" customHeight="1">
      <c r="A159" s="41"/>
      <c r="B159" s="41"/>
      <c r="C159" s="160"/>
      <c r="D159" s="4"/>
      <c r="E159" s="4"/>
      <c r="F159" s="4"/>
      <c r="G159" s="4"/>
      <c r="H159" s="4"/>
      <c r="I159" s="4"/>
      <c r="J159" s="4"/>
      <c r="K159" s="4"/>
      <c r="L159" s="22"/>
      <c r="M159" s="131"/>
      <c r="N159" s="131"/>
      <c r="O159" s="20"/>
    </row>
    <row r="160" spans="1:15" ht="15.75" customHeight="1">
      <c r="A160" s="41"/>
      <c r="B160" s="41"/>
      <c r="C160" s="160"/>
      <c r="D160" s="4"/>
      <c r="E160" s="4"/>
      <c r="F160" s="4"/>
      <c r="G160" s="4"/>
      <c r="H160" s="4"/>
      <c r="I160" s="4"/>
      <c r="J160" s="4"/>
      <c r="K160" s="4"/>
      <c r="L160" s="22"/>
      <c r="M160" s="131"/>
      <c r="N160" s="131"/>
      <c r="O160" s="20"/>
    </row>
    <row r="161" spans="1:15" ht="15.75" customHeight="1">
      <c r="A161" s="41"/>
      <c r="B161" s="41"/>
      <c r="C161" s="160"/>
      <c r="D161" s="4"/>
      <c r="E161" s="4"/>
      <c r="F161" s="4"/>
      <c r="G161" s="4"/>
      <c r="H161" s="4"/>
      <c r="I161" s="4"/>
      <c r="J161" s="4"/>
      <c r="K161" s="4"/>
      <c r="L161" s="22"/>
      <c r="M161" s="131"/>
      <c r="N161" s="131"/>
      <c r="O161" s="20"/>
    </row>
    <row r="162" spans="1:15" ht="15.75" customHeight="1">
      <c r="A162" s="41"/>
      <c r="B162" s="41"/>
      <c r="C162" s="160"/>
      <c r="D162" s="4"/>
      <c r="E162" s="4"/>
      <c r="F162" s="4"/>
      <c r="G162" s="4"/>
      <c r="H162" s="4"/>
      <c r="I162" s="4"/>
      <c r="J162" s="4"/>
      <c r="K162" s="4"/>
      <c r="L162" s="22"/>
      <c r="M162" s="131"/>
      <c r="N162" s="131"/>
      <c r="O162" s="20"/>
    </row>
    <row r="163" spans="1:15" ht="15.75" customHeight="1">
      <c r="A163" s="367"/>
      <c r="B163" s="367"/>
      <c r="C163" s="160"/>
      <c r="D163" s="4"/>
      <c r="E163" s="4"/>
      <c r="F163" s="4"/>
      <c r="G163" s="4"/>
      <c r="H163" s="4"/>
      <c r="I163" s="4"/>
      <c r="J163" s="4"/>
      <c r="K163" s="4"/>
      <c r="L163" s="22"/>
      <c r="M163" s="131"/>
      <c r="N163" s="131"/>
      <c r="O163" s="20"/>
    </row>
    <row r="164" spans="1:15" ht="15.75" customHeight="1">
      <c r="A164" s="367"/>
      <c r="B164" s="367"/>
      <c r="C164" s="160"/>
      <c r="D164" s="4"/>
      <c r="E164" s="4"/>
      <c r="F164" s="4"/>
      <c r="G164" s="4"/>
      <c r="H164" s="4"/>
      <c r="I164" s="4"/>
      <c r="J164" s="4"/>
      <c r="K164" s="4"/>
      <c r="L164" s="22"/>
      <c r="M164" s="131"/>
      <c r="N164" s="131"/>
      <c r="O164" s="20"/>
    </row>
    <row r="165" spans="6:28" ht="12.75" customHeight="1">
      <c r="F165"/>
      <c r="G165"/>
      <c r="H165"/>
      <c r="I165"/>
      <c r="J165"/>
      <c r="K165"/>
      <c r="L165"/>
      <c r="M165"/>
      <c r="N165"/>
      <c r="O165"/>
      <c r="P165"/>
      <c r="Q165"/>
      <c r="R165"/>
      <c r="S165"/>
      <c r="T165"/>
      <c r="U165"/>
      <c r="V165"/>
      <c r="W165"/>
      <c r="X165"/>
      <c r="Y165"/>
      <c r="Z165"/>
      <c r="AA165"/>
      <c r="AB165"/>
    </row>
    <row r="166" spans="6:28" ht="12.75" customHeight="1">
      <c r="F166"/>
      <c r="G166"/>
      <c r="H166"/>
      <c r="I166"/>
      <c r="J166"/>
      <c r="K166"/>
      <c r="L166"/>
      <c r="M166"/>
      <c r="N166"/>
      <c r="O166"/>
      <c r="P166"/>
      <c r="Q166"/>
      <c r="R166"/>
      <c r="S166"/>
      <c r="T166"/>
      <c r="U166"/>
      <c r="V166"/>
      <c r="W166"/>
      <c r="X166"/>
      <c r="Y166"/>
      <c r="Z166"/>
      <c r="AA166"/>
      <c r="AB166"/>
    </row>
    <row r="167" spans="6:28" ht="12.75" customHeight="1">
      <c r="F167"/>
      <c r="G167"/>
      <c r="H167"/>
      <c r="I167"/>
      <c r="J167"/>
      <c r="K167"/>
      <c r="L167"/>
      <c r="M167"/>
      <c r="N167"/>
      <c r="O167"/>
      <c r="P167"/>
      <c r="Q167"/>
      <c r="R167"/>
      <c r="S167"/>
      <c r="T167"/>
      <c r="U167"/>
      <c r="V167"/>
      <c r="W167"/>
      <c r="X167"/>
      <c r="Y167"/>
      <c r="Z167"/>
      <c r="AA167"/>
      <c r="AB167"/>
    </row>
    <row r="168" spans="6:28" ht="12.75" customHeight="1">
      <c r="F168"/>
      <c r="G168"/>
      <c r="H168"/>
      <c r="I168"/>
      <c r="J168"/>
      <c r="K168"/>
      <c r="L168"/>
      <c r="M168"/>
      <c r="N168"/>
      <c r="O168"/>
      <c r="P168"/>
      <c r="Q168"/>
      <c r="R168"/>
      <c r="S168"/>
      <c r="T168"/>
      <c r="U168"/>
      <c r="V168"/>
      <c r="W168"/>
      <c r="X168"/>
      <c r="Y168"/>
      <c r="Z168"/>
      <c r="AA168"/>
      <c r="AB168"/>
    </row>
    <row r="169" spans="6:28" ht="12.75" customHeight="1">
      <c r="F169"/>
      <c r="G169"/>
      <c r="H169"/>
      <c r="I169"/>
      <c r="J169"/>
      <c r="K169"/>
      <c r="L169"/>
      <c r="M169"/>
      <c r="N169"/>
      <c r="O169"/>
      <c r="P169"/>
      <c r="Q169"/>
      <c r="R169"/>
      <c r="S169"/>
      <c r="T169"/>
      <c r="U169"/>
      <c r="V169"/>
      <c r="W169"/>
      <c r="X169"/>
      <c r="Y169"/>
      <c r="Z169"/>
      <c r="AA169"/>
      <c r="AB169"/>
    </row>
    <row r="170" spans="6:28" ht="12.75" customHeight="1">
      <c r="F170"/>
      <c r="G170"/>
      <c r="H170"/>
      <c r="I170"/>
      <c r="J170"/>
      <c r="K170"/>
      <c r="L170"/>
      <c r="M170"/>
      <c r="N170"/>
      <c r="O170"/>
      <c r="P170"/>
      <c r="Q170"/>
      <c r="R170"/>
      <c r="S170"/>
      <c r="T170"/>
      <c r="U170"/>
      <c r="V170"/>
      <c r="W170"/>
      <c r="X170"/>
      <c r="Y170"/>
      <c r="Z170"/>
      <c r="AA170"/>
      <c r="AB170"/>
    </row>
    <row r="171" spans="6:28" ht="12.75" customHeight="1">
      <c r="F171"/>
      <c r="G171"/>
      <c r="H171"/>
      <c r="I171"/>
      <c r="J171"/>
      <c r="K171"/>
      <c r="L171"/>
      <c r="M171"/>
      <c r="N171"/>
      <c r="O171"/>
      <c r="P171"/>
      <c r="Q171"/>
      <c r="R171"/>
      <c r="S171"/>
      <c r="T171"/>
      <c r="U171"/>
      <c r="V171"/>
      <c r="W171"/>
      <c r="X171"/>
      <c r="Y171"/>
      <c r="Z171"/>
      <c r="AA171"/>
      <c r="AB171"/>
    </row>
    <row r="172" spans="6:28" ht="12.75" customHeight="1">
      <c r="F172"/>
      <c r="G172"/>
      <c r="H172"/>
      <c r="I172"/>
      <c r="J172"/>
      <c r="K172"/>
      <c r="L172"/>
      <c r="M172"/>
      <c r="N172"/>
      <c r="O172"/>
      <c r="P172"/>
      <c r="Q172"/>
      <c r="R172"/>
      <c r="S172"/>
      <c r="T172"/>
      <c r="U172"/>
      <c r="V172"/>
      <c r="W172"/>
      <c r="X172"/>
      <c r="Y172"/>
      <c r="Z172"/>
      <c r="AA172"/>
      <c r="AB172"/>
    </row>
    <row r="173" spans="6:28" ht="12.75" customHeight="1">
      <c r="F173"/>
      <c r="G173"/>
      <c r="H173"/>
      <c r="I173"/>
      <c r="J173"/>
      <c r="K173"/>
      <c r="L173"/>
      <c r="M173"/>
      <c r="N173"/>
      <c r="O173"/>
      <c r="P173"/>
      <c r="Q173"/>
      <c r="R173"/>
      <c r="S173"/>
      <c r="T173"/>
      <c r="U173"/>
      <c r="V173"/>
      <c r="W173"/>
      <c r="X173"/>
      <c r="Y173"/>
      <c r="Z173"/>
      <c r="AA173"/>
      <c r="AB173"/>
    </row>
    <row r="174" spans="6:28" ht="12.75" customHeight="1">
      <c r="F174"/>
      <c r="G174"/>
      <c r="H174"/>
      <c r="I174"/>
      <c r="J174"/>
      <c r="K174"/>
      <c r="L174"/>
      <c r="M174"/>
      <c r="N174"/>
      <c r="O174"/>
      <c r="P174"/>
      <c r="Q174"/>
      <c r="R174"/>
      <c r="S174"/>
      <c r="T174"/>
      <c r="U174"/>
      <c r="V174"/>
      <c r="W174"/>
      <c r="X174"/>
      <c r="Y174"/>
      <c r="Z174"/>
      <c r="AA174"/>
      <c r="AB174"/>
    </row>
    <row r="175" spans="6:28" ht="12.75" customHeight="1">
      <c r="F175"/>
      <c r="G175"/>
      <c r="H175"/>
      <c r="I175"/>
      <c r="J175"/>
      <c r="K175"/>
      <c r="L175"/>
      <c r="M175"/>
      <c r="N175"/>
      <c r="O175"/>
      <c r="P175"/>
      <c r="Q175"/>
      <c r="R175"/>
      <c r="S175"/>
      <c r="T175"/>
      <c r="U175"/>
      <c r="V175"/>
      <c r="W175"/>
      <c r="X175"/>
      <c r="Y175"/>
      <c r="Z175"/>
      <c r="AA175"/>
      <c r="AB175"/>
    </row>
    <row r="176" spans="6:28" ht="12.75" customHeight="1">
      <c r="F176"/>
      <c r="G176"/>
      <c r="H176"/>
      <c r="I176"/>
      <c r="J176"/>
      <c r="K176"/>
      <c r="L176"/>
      <c r="M176"/>
      <c r="N176"/>
      <c r="O176"/>
      <c r="P176"/>
      <c r="Q176"/>
      <c r="R176"/>
      <c r="S176"/>
      <c r="T176"/>
      <c r="U176"/>
      <c r="V176"/>
      <c r="W176"/>
      <c r="X176"/>
      <c r="Y176"/>
      <c r="Z176"/>
      <c r="AA176"/>
      <c r="AB176"/>
    </row>
    <row r="177" spans="6:28" ht="12.75" customHeight="1">
      <c r="F177"/>
      <c r="G177"/>
      <c r="H177"/>
      <c r="I177"/>
      <c r="J177"/>
      <c r="K177"/>
      <c r="L177"/>
      <c r="M177"/>
      <c r="N177"/>
      <c r="O177"/>
      <c r="P177"/>
      <c r="Q177"/>
      <c r="R177"/>
      <c r="S177"/>
      <c r="T177"/>
      <c r="U177"/>
      <c r="V177"/>
      <c r="W177"/>
      <c r="X177"/>
      <c r="Y177"/>
      <c r="Z177"/>
      <c r="AA177"/>
      <c r="AB177"/>
    </row>
    <row r="178" spans="6:28" ht="12.75" customHeight="1">
      <c r="F178"/>
      <c r="G178"/>
      <c r="H178"/>
      <c r="I178"/>
      <c r="J178"/>
      <c r="K178"/>
      <c r="L178"/>
      <c r="M178"/>
      <c r="N178"/>
      <c r="O178"/>
      <c r="P178"/>
      <c r="Q178"/>
      <c r="R178"/>
      <c r="S178"/>
      <c r="T178"/>
      <c r="U178"/>
      <c r="V178"/>
      <c r="W178"/>
      <c r="X178"/>
      <c r="Y178"/>
      <c r="Z178"/>
      <c r="AA178"/>
      <c r="AB178"/>
    </row>
    <row r="179" spans="6:28" ht="12.75" customHeight="1">
      <c r="F179"/>
      <c r="G179"/>
      <c r="H179"/>
      <c r="I179"/>
      <c r="J179"/>
      <c r="K179"/>
      <c r="L179"/>
      <c r="M179"/>
      <c r="N179"/>
      <c r="O179"/>
      <c r="P179"/>
      <c r="Q179"/>
      <c r="R179"/>
      <c r="S179"/>
      <c r="T179"/>
      <c r="U179"/>
      <c r="V179"/>
      <c r="W179"/>
      <c r="X179"/>
      <c r="Y179"/>
      <c r="Z179"/>
      <c r="AA179"/>
      <c r="AB179"/>
    </row>
    <row r="180" spans="6:28" ht="12.75" customHeight="1">
      <c r="F180"/>
      <c r="G180"/>
      <c r="H180"/>
      <c r="I180"/>
      <c r="J180"/>
      <c r="K180"/>
      <c r="L180"/>
      <c r="M180"/>
      <c r="N180"/>
      <c r="O180"/>
      <c r="P180"/>
      <c r="Q180"/>
      <c r="R180"/>
      <c r="S180"/>
      <c r="T180"/>
      <c r="U180"/>
      <c r="V180"/>
      <c r="W180"/>
      <c r="X180"/>
      <c r="Y180"/>
      <c r="Z180"/>
      <c r="AA180"/>
      <c r="AB180"/>
    </row>
    <row r="181" spans="6:28" ht="12.75" customHeight="1">
      <c r="F181"/>
      <c r="G181"/>
      <c r="H181"/>
      <c r="I181"/>
      <c r="J181"/>
      <c r="K181"/>
      <c r="L181"/>
      <c r="M181"/>
      <c r="N181"/>
      <c r="O181"/>
      <c r="P181"/>
      <c r="Q181"/>
      <c r="R181"/>
      <c r="S181"/>
      <c r="T181"/>
      <c r="U181"/>
      <c r="V181"/>
      <c r="W181"/>
      <c r="X181"/>
      <c r="Y181"/>
      <c r="Z181"/>
      <c r="AA181"/>
      <c r="AB181"/>
    </row>
    <row r="182" spans="6:28" ht="12.75" customHeight="1">
      <c r="F182"/>
      <c r="G182"/>
      <c r="H182"/>
      <c r="I182"/>
      <c r="J182"/>
      <c r="K182"/>
      <c r="L182"/>
      <c r="M182"/>
      <c r="N182"/>
      <c r="O182"/>
      <c r="P182"/>
      <c r="Q182"/>
      <c r="R182"/>
      <c r="S182"/>
      <c r="T182"/>
      <c r="U182"/>
      <c r="V182"/>
      <c r="W182"/>
      <c r="X182"/>
      <c r="Y182"/>
      <c r="Z182"/>
      <c r="AA182"/>
      <c r="AB182"/>
    </row>
    <row r="183" spans="6:28" ht="12.75" customHeight="1">
      <c r="F183"/>
      <c r="G183"/>
      <c r="H183"/>
      <c r="I183"/>
      <c r="J183"/>
      <c r="K183"/>
      <c r="L183"/>
      <c r="M183"/>
      <c r="N183"/>
      <c r="O183"/>
      <c r="P183"/>
      <c r="Q183"/>
      <c r="R183"/>
      <c r="S183"/>
      <c r="T183"/>
      <c r="U183"/>
      <c r="V183"/>
      <c r="W183"/>
      <c r="X183"/>
      <c r="Y183"/>
      <c r="Z183"/>
      <c r="AA183"/>
      <c r="AB183"/>
    </row>
    <row r="184" spans="6:28" ht="12.75" customHeight="1">
      <c r="F184"/>
      <c r="G184"/>
      <c r="H184"/>
      <c r="I184"/>
      <c r="J184"/>
      <c r="K184"/>
      <c r="L184"/>
      <c r="M184"/>
      <c r="N184"/>
      <c r="O184"/>
      <c r="P184"/>
      <c r="Q184"/>
      <c r="R184"/>
      <c r="S184"/>
      <c r="T184"/>
      <c r="U184"/>
      <c r="V184"/>
      <c r="W184"/>
      <c r="X184"/>
      <c r="Y184"/>
      <c r="Z184"/>
      <c r="AA184"/>
      <c r="AB184"/>
    </row>
    <row r="185" spans="6:28" ht="12.75" customHeight="1">
      <c r="F185"/>
      <c r="G185"/>
      <c r="H185"/>
      <c r="I185"/>
      <c r="J185"/>
      <c r="K185"/>
      <c r="L185"/>
      <c r="M185"/>
      <c r="N185"/>
      <c r="O185"/>
      <c r="P185"/>
      <c r="Q185"/>
      <c r="R185"/>
      <c r="S185"/>
      <c r="T185"/>
      <c r="U185"/>
      <c r="V185"/>
      <c r="W185"/>
      <c r="X185"/>
      <c r="Y185"/>
      <c r="Z185"/>
      <c r="AA185"/>
      <c r="AB185"/>
    </row>
    <row r="186" spans="6:28" ht="12.75" customHeight="1">
      <c r="F186"/>
      <c r="G186"/>
      <c r="H186"/>
      <c r="I186"/>
      <c r="J186"/>
      <c r="K186"/>
      <c r="L186"/>
      <c r="M186"/>
      <c r="N186"/>
      <c r="O186"/>
      <c r="P186"/>
      <c r="Q186"/>
      <c r="R186"/>
      <c r="S186"/>
      <c r="T186"/>
      <c r="U186"/>
      <c r="V186"/>
      <c r="W186"/>
      <c r="X186"/>
      <c r="Y186"/>
      <c r="Z186"/>
      <c r="AA186"/>
      <c r="AB186"/>
    </row>
    <row r="187" spans="6:28" ht="12.75" customHeight="1">
      <c r="F187"/>
      <c r="G187"/>
      <c r="H187"/>
      <c r="I187"/>
      <c r="J187"/>
      <c r="K187"/>
      <c r="L187"/>
      <c r="M187"/>
      <c r="N187"/>
      <c r="O187"/>
      <c r="P187"/>
      <c r="Q187"/>
      <c r="R187"/>
      <c r="S187"/>
      <c r="T187"/>
      <c r="U187"/>
      <c r="V187"/>
      <c r="W187"/>
      <c r="X187"/>
      <c r="Y187"/>
      <c r="Z187"/>
      <c r="AA187"/>
      <c r="AB187"/>
    </row>
    <row r="188" spans="6:28" ht="12.75" customHeight="1">
      <c r="F188"/>
      <c r="G188"/>
      <c r="H188"/>
      <c r="I188"/>
      <c r="J188"/>
      <c r="K188"/>
      <c r="L188"/>
      <c r="M188"/>
      <c r="N188"/>
      <c r="O188"/>
      <c r="P188"/>
      <c r="Q188"/>
      <c r="R188"/>
      <c r="S188"/>
      <c r="T188"/>
      <c r="U188"/>
      <c r="V188"/>
      <c r="W188"/>
      <c r="X188"/>
      <c r="Y188"/>
      <c r="Z188"/>
      <c r="AA188"/>
      <c r="AB188"/>
    </row>
    <row r="189" spans="6:28" ht="12.75" customHeight="1">
      <c r="F189"/>
      <c r="G189"/>
      <c r="H189"/>
      <c r="I189"/>
      <c r="J189"/>
      <c r="K189"/>
      <c r="L189"/>
      <c r="M189"/>
      <c r="N189"/>
      <c r="O189"/>
      <c r="P189"/>
      <c r="Q189"/>
      <c r="R189"/>
      <c r="S189"/>
      <c r="T189"/>
      <c r="U189"/>
      <c r="V189"/>
      <c r="W189"/>
      <c r="X189"/>
      <c r="Y189"/>
      <c r="Z189"/>
      <c r="AA189"/>
      <c r="AB189"/>
    </row>
    <row r="190" spans="6:28" ht="12.75" customHeight="1">
      <c r="F190"/>
      <c r="G190"/>
      <c r="H190"/>
      <c r="I190"/>
      <c r="J190"/>
      <c r="K190"/>
      <c r="L190"/>
      <c r="M190"/>
      <c r="N190"/>
      <c r="O190"/>
      <c r="P190"/>
      <c r="Q190"/>
      <c r="R190"/>
      <c r="S190"/>
      <c r="T190"/>
      <c r="U190"/>
      <c r="V190"/>
      <c r="W190"/>
      <c r="X190"/>
      <c r="Y190"/>
      <c r="Z190"/>
      <c r="AA190"/>
      <c r="AB190"/>
    </row>
    <row r="191" spans="6:28" ht="12.75" customHeight="1">
      <c r="F191"/>
      <c r="G191"/>
      <c r="H191"/>
      <c r="I191"/>
      <c r="J191"/>
      <c r="K191"/>
      <c r="L191"/>
      <c r="M191"/>
      <c r="N191"/>
      <c r="O191"/>
      <c r="P191"/>
      <c r="Q191"/>
      <c r="R191"/>
      <c r="S191"/>
      <c r="T191"/>
      <c r="U191"/>
      <c r="V191"/>
      <c r="W191"/>
      <c r="X191"/>
      <c r="Y191"/>
      <c r="Z191"/>
      <c r="AA191"/>
      <c r="AB191"/>
    </row>
    <row r="192" spans="6:28" ht="12.75" customHeight="1">
      <c r="F192"/>
      <c r="G192"/>
      <c r="H192"/>
      <c r="I192"/>
      <c r="J192"/>
      <c r="K192"/>
      <c r="L192"/>
      <c r="M192"/>
      <c r="N192"/>
      <c r="O192"/>
      <c r="P192"/>
      <c r="Q192"/>
      <c r="R192"/>
      <c r="S192"/>
      <c r="T192"/>
      <c r="U192"/>
      <c r="V192"/>
      <c r="W192"/>
      <c r="X192"/>
      <c r="Y192"/>
      <c r="Z192"/>
      <c r="AA192"/>
      <c r="AB192"/>
    </row>
    <row r="193" spans="6:28" ht="12.75" customHeight="1">
      <c r="F193"/>
      <c r="G193"/>
      <c r="H193"/>
      <c r="I193"/>
      <c r="J193"/>
      <c r="K193"/>
      <c r="L193"/>
      <c r="M193"/>
      <c r="N193"/>
      <c r="O193"/>
      <c r="P193"/>
      <c r="Q193"/>
      <c r="R193"/>
      <c r="S193"/>
      <c r="T193"/>
      <c r="U193"/>
      <c r="V193"/>
      <c r="W193"/>
      <c r="X193"/>
      <c r="Y193"/>
      <c r="Z193"/>
      <c r="AA193"/>
      <c r="AB193"/>
    </row>
    <row r="194" spans="6:28" ht="12.75" customHeight="1">
      <c r="F194"/>
      <c r="G194"/>
      <c r="H194"/>
      <c r="I194"/>
      <c r="J194"/>
      <c r="K194"/>
      <c r="L194"/>
      <c r="M194"/>
      <c r="N194"/>
      <c r="O194"/>
      <c r="P194"/>
      <c r="Q194"/>
      <c r="R194"/>
      <c r="S194"/>
      <c r="T194"/>
      <c r="U194"/>
      <c r="V194"/>
      <c r="W194"/>
      <c r="X194"/>
      <c r="Y194"/>
      <c r="Z194"/>
      <c r="AA194"/>
      <c r="AB194"/>
    </row>
    <row r="195" spans="6:28" ht="12.75" customHeight="1">
      <c r="F195"/>
      <c r="G195"/>
      <c r="H195"/>
      <c r="I195"/>
      <c r="J195"/>
      <c r="K195"/>
      <c r="L195"/>
      <c r="M195"/>
      <c r="N195"/>
      <c r="O195"/>
      <c r="P195"/>
      <c r="Q195"/>
      <c r="R195"/>
      <c r="S195"/>
      <c r="T195"/>
      <c r="U195"/>
      <c r="V195"/>
      <c r="W195"/>
      <c r="X195"/>
      <c r="Y195"/>
      <c r="Z195"/>
      <c r="AA195"/>
      <c r="AB195"/>
    </row>
    <row r="196" spans="6:28" ht="12.75" customHeight="1">
      <c r="F196"/>
      <c r="G196"/>
      <c r="H196"/>
      <c r="I196"/>
      <c r="J196"/>
      <c r="K196"/>
      <c r="L196"/>
      <c r="M196"/>
      <c r="N196"/>
      <c r="O196"/>
      <c r="P196"/>
      <c r="Q196"/>
      <c r="R196"/>
      <c r="S196"/>
      <c r="T196"/>
      <c r="U196"/>
      <c r="V196"/>
      <c r="W196"/>
      <c r="X196"/>
      <c r="Y196"/>
      <c r="Z196"/>
      <c r="AA196"/>
      <c r="AB196"/>
    </row>
    <row r="197" spans="6:28" ht="12.75" customHeight="1">
      <c r="F197"/>
      <c r="G197"/>
      <c r="H197"/>
      <c r="I197"/>
      <c r="J197"/>
      <c r="K197"/>
      <c r="L197"/>
      <c r="M197"/>
      <c r="N197"/>
      <c r="O197"/>
      <c r="P197"/>
      <c r="Q197"/>
      <c r="R197"/>
      <c r="S197"/>
      <c r="T197"/>
      <c r="U197"/>
      <c r="V197"/>
      <c r="W197"/>
      <c r="X197"/>
      <c r="Y197"/>
      <c r="Z197"/>
      <c r="AA197"/>
      <c r="AB197"/>
    </row>
    <row r="198" spans="6:28" ht="12.75" customHeight="1">
      <c r="F198"/>
      <c r="G198"/>
      <c r="H198"/>
      <c r="I198"/>
      <c r="J198"/>
      <c r="K198"/>
      <c r="L198"/>
      <c r="M198"/>
      <c r="N198"/>
      <c r="O198"/>
      <c r="P198"/>
      <c r="Q198"/>
      <c r="R198"/>
      <c r="S198"/>
      <c r="T198"/>
      <c r="U198"/>
      <c r="V198"/>
      <c r="W198"/>
      <c r="X198"/>
      <c r="Y198"/>
      <c r="Z198"/>
      <c r="AA198"/>
      <c r="AB198"/>
    </row>
    <row r="199" spans="6:28" ht="12.75" customHeight="1">
      <c r="F199"/>
      <c r="G199"/>
      <c r="H199"/>
      <c r="I199"/>
      <c r="J199"/>
      <c r="K199"/>
      <c r="L199"/>
      <c r="M199"/>
      <c r="N199"/>
      <c r="O199"/>
      <c r="P199"/>
      <c r="Q199"/>
      <c r="R199"/>
      <c r="S199"/>
      <c r="T199"/>
      <c r="U199"/>
      <c r="V199"/>
      <c r="W199"/>
      <c r="X199"/>
      <c r="Y199"/>
      <c r="Z199"/>
      <c r="AA199"/>
      <c r="AB199"/>
    </row>
    <row r="200" spans="6:28" ht="12.75" customHeight="1">
      <c r="F200"/>
      <c r="G200"/>
      <c r="H200"/>
      <c r="I200"/>
      <c r="J200"/>
      <c r="K200"/>
      <c r="L200"/>
      <c r="M200"/>
      <c r="N200"/>
      <c r="O200"/>
      <c r="P200"/>
      <c r="Q200"/>
      <c r="R200"/>
      <c r="S200"/>
      <c r="T200"/>
      <c r="U200"/>
      <c r="V200"/>
      <c r="W200"/>
      <c r="X200"/>
      <c r="Y200"/>
      <c r="Z200"/>
      <c r="AA200"/>
      <c r="AB200"/>
    </row>
    <row r="201" spans="6:28" ht="12.75" customHeight="1">
      <c r="F201"/>
      <c r="G201"/>
      <c r="H201"/>
      <c r="I201"/>
      <c r="J201"/>
      <c r="K201"/>
      <c r="L201"/>
      <c r="M201"/>
      <c r="N201"/>
      <c r="O201"/>
      <c r="P201"/>
      <c r="Q201"/>
      <c r="R201"/>
      <c r="S201"/>
      <c r="T201"/>
      <c r="U201"/>
      <c r="V201"/>
      <c r="W201"/>
      <c r="X201"/>
      <c r="Y201"/>
      <c r="Z201"/>
      <c r="AA201"/>
      <c r="AB201"/>
    </row>
    <row r="202" spans="6:28" ht="12.75" customHeight="1">
      <c r="F202"/>
      <c r="G202"/>
      <c r="H202"/>
      <c r="I202"/>
      <c r="J202"/>
      <c r="K202"/>
      <c r="L202"/>
      <c r="M202"/>
      <c r="N202"/>
      <c r="O202"/>
      <c r="P202"/>
      <c r="Q202"/>
      <c r="R202"/>
      <c r="S202"/>
      <c r="T202"/>
      <c r="U202"/>
      <c r="V202"/>
      <c r="W202"/>
      <c r="X202"/>
      <c r="Y202"/>
      <c r="Z202"/>
      <c r="AA202"/>
      <c r="AB202"/>
    </row>
    <row r="203" spans="6:28" ht="12.75" customHeight="1">
      <c r="F203"/>
      <c r="G203"/>
      <c r="H203"/>
      <c r="I203"/>
      <c r="J203"/>
      <c r="K203"/>
      <c r="L203"/>
      <c r="M203"/>
      <c r="N203"/>
      <c r="O203"/>
      <c r="P203"/>
      <c r="Q203"/>
      <c r="R203"/>
      <c r="S203"/>
      <c r="T203"/>
      <c r="U203"/>
      <c r="V203"/>
      <c r="W203"/>
      <c r="X203"/>
      <c r="Y203"/>
      <c r="Z203"/>
      <c r="AA203"/>
      <c r="AB203"/>
    </row>
    <row r="204" spans="6:28" ht="12.75" customHeight="1">
      <c r="F204"/>
      <c r="G204"/>
      <c r="H204"/>
      <c r="I204"/>
      <c r="J204"/>
      <c r="K204"/>
      <c r="L204"/>
      <c r="M204"/>
      <c r="N204"/>
      <c r="O204"/>
      <c r="P204"/>
      <c r="Q204"/>
      <c r="R204"/>
      <c r="S204"/>
      <c r="T204"/>
      <c r="U204"/>
      <c r="V204"/>
      <c r="W204"/>
      <c r="X204"/>
      <c r="Y204"/>
      <c r="Z204"/>
      <c r="AA204"/>
      <c r="AB204"/>
    </row>
    <row r="205" spans="6:28" ht="12.75" customHeight="1">
      <c r="F205"/>
      <c r="G205"/>
      <c r="H205"/>
      <c r="I205"/>
      <c r="J205"/>
      <c r="K205"/>
      <c r="L205"/>
      <c r="M205"/>
      <c r="N205"/>
      <c r="O205"/>
      <c r="P205"/>
      <c r="Q205"/>
      <c r="R205"/>
      <c r="S205"/>
      <c r="T205"/>
      <c r="U205"/>
      <c r="V205"/>
      <c r="W205"/>
      <c r="X205"/>
      <c r="Y205"/>
      <c r="Z205"/>
      <c r="AA205"/>
      <c r="AB205"/>
    </row>
    <row r="206" spans="6:28" ht="12.75" customHeight="1">
      <c r="F206"/>
      <c r="G206"/>
      <c r="H206"/>
      <c r="I206"/>
      <c r="J206"/>
      <c r="K206"/>
      <c r="L206"/>
      <c r="M206"/>
      <c r="N206"/>
      <c r="O206"/>
      <c r="P206"/>
      <c r="Q206"/>
      <c r="R206"/>
      <c r="S206"/>
      <c r="T206"/>
      <c r="U206"/>
      <c r="V206"/>
      <c r="W206"/>
      <c r="X206"/>
      <c r="Y206"/>
      <c r="Z206"/>
      <c r="AA206"/>
      <c r="AB206"/>
    </row>
    <row r="207" spans="6:28" ht="12.75" customHeight="1">
      <c r="F207"/>
      <c r="G207"/>
      <c r="H207"/>
      <c r="I207"/>
      <c r="J207"/>
      <c r="K207"/>
      <c r="L207"/>
      <c r="M207"/>
      <c r="N207"/>
      <c r="O207"/>
      <c r="P207"/>
      <c r="Q207"/>
      <c r="R207"/>
      <c r="S207"/>
      <c r="T207"/>
      <c r="U207"/>
      <c r="V207"/>
      <c r="W207"/>
      <c r="X207"/>
      <c r="Y207"/>
      <c r="Z207"/>
      <c r="AA207"/>
      <c r="AB207"/>
    </row>
  </sheetData>
  <sheetProtection/>
  <mergeCells count="20">
    <mergeCell ref="D5:G5"/>
    <mergeCell ref="A122:B122"/>
    <mergeCell ref="AA68:AB68"/>
    <mergeCell ref="AA65:AB65"/>
    <mergeCell ref="B68:C68"/>
    <mergeCell ref="E68:G68"/>
    <mergeCell ref="B65:C65"/>
    <mergeCell ref="E65:G65"/>
    <mergeCell ref="I66:J66"/>
    <mergeCell ref="I67:J67"/>
    <mergeCell ref="A163:B163"/>
    <mergeCell ref="A164:B164"/>
    <mergeCell ref="K1:K2"/>
    <mergeCell ref="I119:J120"/>
    <mergeCell ref="K119:K120"/>
    <mergeCell ref="I68:J68"/>
    <mergeCell ref="I115:J115"/>
    <mergeCell ref="I100:J100"/>
    <mergeCell ref="H69:K69"/>
    <mergeCell ref="I65:J65"/>
  </mergeCells>
  <printOptions horizontalCentered="1" verticalCentered="1"/>
  <pageMargins left="0.7874015748031497" right="0.7874015748031497" top="0.3937007874015748" bottom="0" header="0.31496062992125984" footer="0"/>
  <pageSetup horizontalDpi="600" verticalDpi="600" orientation="portrait" paperSize="9" scale="76" r:id="rId3"/>
  <rowBreaks count="1" manualBreakCount="1">
    <brk id="60" max="27" man="1"/>
  </rowBreaks>
  <colBreaks count="1" manualBreakCount="1">
    <brk id="11" max="109" man="1"/>
  </colBreaks>
  <drawing r:id="rId2"/>
  <legacyDrawing r:id="rId1"/>
</worksheet>
</file>

<file path=xl/worksheets/sheet2.xml><?xml version="1.0" encoding="utf-8"?>
<worksheet xmlns="http://schemas.openxmlformats.org/spreadsheetml/2006/main" xmlns:r="http://schemas.openxmlformats.org/officeDocument/2006/relationships">
  <sheetPr codeName="Feuil4"/>
  <dimension ref="A1:W51"/>
  <sheetViews>
    <sheetView workbookViewId="0" topLeftCell="A1">
      <pane ySplit="2" topLeftCell="BM15" activePane="bottomLeft" state="frozen"/>
      <selection pane="topLeft" activeCell="J114" sqref="J114"/>
      <selection pane="bottomLeft" activeCell="E44" sqref="E44"/>
    </sheetView>
  </sheetViews>
  <sheetFormatPr defaultColWidth="11.421875" defaultRowHeight="12.75" customHeight="1"/>
  <cols>
    <col min="1" max="1" width="8.00390625" style="218" customWidth="1"/>
    <col min="2" max="2" width="6.8515625" style="218" customWidth="1"/>
    <col min="3" max="3" width="9.140625" style="218" customWidth="1"/>
    <col min="4" max="4" width="8.421875" style="218" customWidth="1"/>
    <col min="5" max="5" width="7.28125" style="218" customWidth="1"/>
    <col min="6" max="6" width="7.57421875" style="218" customWidth="1"/>
    <col min="7" max="7" width="8.421875" style="218" customWidth="1"/>
    <col min="8" max="8" width="7.7109375" style="218" customWidth="1"/>
    <col min="9" max="11" width="7.8515625" style="218" customWidth="1"/>
    <col min="12" max="12" width="7.8515625" style="44" hidden="1" customWidth="1"/>
    <col min="13" max="13" width="12.28125" style="44" hidden="1" customWidth="1"/>
    <col min="14" max="17" width="7.8515625" style="44" hidden="1" customWidth="1"/>
    <col min="18" max="16384" width="7.8515625" style="216" customWidth="1"/>
  </cols>
  <sheetData>
    <row r="1" spans="1:23" s="214" customFormat="1" ht="19.5" customHeight="1" thickTop="1">
      <c r="A1" s="151" t="s">
        <v>218</v>
      </c>
      <c r="B1" s="151" t="s">
        <v>275</v>
      </c>
      <c r="C1" s="151" t="s">
        <v>219</v>
      </c>
      <c r="D1" s="151" t="s">
        <v>220</v>
      </c>
      <c r="E1" s="151" t="s">
        <v>221</v>
      </c>
      <c r="F1" s="241" t="s">
        <v>331</v>
      </c>
      <c r="G1" s="150"/>
      <c r="H1" s="242" t="s">
        <v>332</v>
      </c>
      <c r="I1" s="241" t="s">
        <v>333</v>
      </c>
      <c r="J1" s="242" t="s">
        <v>334</v>
      </c>
      <c r="K1" s="368"/>
      <c r="L1" s="201"/>
      <c r="M1" s="201"/>
      <c r="N1" s="201"/>
      <c r="O1" s="201"/>
      <c r="P1" s="201"/>
      <c r="Q1" s="201"/>
      <c r="R1" s="220"/>
      <c r="S1" s="220"/>
      <c r="T1" s="220"/>
      <c r="U1" s="220"/>
      <c r="V1" s="220"/>
      <c r="W1" s="220"/>
    </row>
    <row r="2" spans="1:23" s="215" customFormat="1" ht="24.75" customHeight="1" thickBot="1">
      <c r="A2" s="153">
        <f>Résumé!$C$5</f>
      </c>
      <c r="B2" s="153" t="str">
        <f>Résumé!$W$24</f>
        <v>-</v>
      </c>
      <c r="C2" s="153">
        <f>Résumé!$W$15</f>
      </c>
      <c r="D2" s="153">
        <f>Résumé!$W$18</f>
      </c>
      <c r="E2" s="153">
        <f>IF(OR(Général!$L$91=2,Général!$L$91=5,Général!$G$100=1)," -",IF(Résumé!$C$16="","",Résumé!$C$16))</f>
        <v>0</v>
      </c>
      <c r="F2" s="243" t="e">
        <f>Général!$N$120</f>
        <v>#VALUE!</v>
      </c>
      <c r="G2" s="152"/>
      <c r="H2" s="243">
        <f>Env!$K$19</f>
        <v>1</v>
      </c>
      <c r="I2" s="243">
        <f>Env!$K$23</f>
        <v>1</v>
      </c>
      <c r="J2" s="244">
        <f>Env!$K$86</f>
        <v>0.7</v>
      </c>
      <c r="K2" s="369"/>
      <c r="L2" s="202"/>
      <c r="M2" s="202"/>
      <c r="N2" s="203"/>
      <c r="O2" s="203"/>
      <c r="P2" s="203"/>
      <c r="Q2" s="203"/>
      <c r="R2" s="203"/>
      <c r="S2" s="203"/>
      <c r="T2" s="203"/>
      <c r="U2" s="203"/>
      <c r="V2" s="203"/>
      <c r="W2" s="203"/>
    </row>
    <row r="3" spans="1:23" s="217" customFormat="1" ht="12.75" customHeight="1" thickTop="1">
      <c r="A3" s="204" t="s">
        <v>157</v>
      </c>
      <c r="B3" s="46"/>
      <c r="C3" s="46"/>
      <c r="D3" s="46"/>
      <c r="E3" s="46"/>
      <c r="F3" s="46"/>
      <c r="G3" s="46"/>
      <c r="H3" s="46"/>
      <c r="I3" s="46"/>
      <c r="J3" s="46"/>
      <c r="K3" s="46"/>
      <c r="L3" s="44"/>
      <c r="M3" s="44"/>
      <c r="N3" s="44"/>
      <c r="O3" s="44"/>
      <c r="P3" s="44"/>
      <c r="Q3" s="205"/>
      <c r="R3" s="205"/>
      <c r="S3" s="205"/>
      <c r="T3" s="205"/>
      <c r="U3" s="205"/>
      <c r="V3" s="205"/>
      <c r="W3" s="205"/>
    </row>
    <row r="4" spans="1:23" ht="12.75" customHeight="1">
      <c r="A4" s="42"/>
      <c r="B4" s="42"/>
      <c r="C4" s="42"/>
      <c r="D4" s="42"/>
      <c r="E4" s="42"/>
      <c r="F4" s="42"/>
      <c r="G4" s="42"/>
      <c r="H4" s="42"/>
      <c r="I4" s="42"/>
      <c r="J4" s="42"/>
      <c r="K4" s="42"/>
      <c r="R4" s="44"/>
      <c r="S4" s="44"/>
      <c r="T4" s="44"/>
      <c r="U4" s="44"/>
      <c r="V4" s="44"/>
      <c r="W4" s="44"/>
    </row>
    <row r="5" spans="1:23" ht="12.75" customHeight="1">
      <c r="A5" s="204" t="s">
        <v>264</v>
      </c>
      <c r="B5" s="204"/>
      <c r="C5" s="204"/>
      <c r="D5" s="42"/>
      <c r="E5" s="42"/>
      <c r="F5" s="42"/>
      <c r="G5" s="42"/>
      <c r="H5" s="42"/>
      <c r="I5" s="42"/>
      <c r="J5" s="42"/>
      <c r="K5" s="42"/>
      <c r="R5" s="44"/>
      <c r="S5" s="44"/>
      <c r="T5" s="44"/>
      <c r="U5" s="44"/>
      <c r="V5" s="44"/>
      <c r="W5" s="44"/>
    </row>
    <row r="6" spans="1:23" ht="12.75" customHeight="1">
      <c r="A6" s="42"/>
      <c r="B6" s="42"/>
      <c r="C6" s="42"/>
      <c r="D6" s="42"/>
      <c r="E6" s="42"/>
      <c r="F6" s="42"/>
      <c r="G6" s="42"/>
      <c r="H6" s="42"/>
      <c r="I6" s="42"/>
      <c r="J6" s="42"/>
      <c r="K6" s="42"/>
      <c r="R6" s="44"/>
      <c r="S6" s="44"/>
      <c r="T6" s="44"/>
      <c r="U6" s="44"/>
      <c r="V6" s="44"/>
      <c r="W6" s="44"/>
    </row>
    <row r="7" spans="1:23" ht="12.75" customHeight="1">
      <c r="A7" s="42"/>
      <c r="B7" s="42"/>
      <c r="C7" s="42"/>
      <c r="D7" s="42"/>
      <c r="E7" s="42"/>
      <c r="F7" s="42"/>
      <c r="G7" s="42"/>
      <c r="H7" s="42"/>
      <c r="I7" s="42"/>
      <c r="J7" s="42"/>
      <c r="K7" s="42"/>
      <c r="R7" s="44"/>
      <c r="S7" s="44"/>
      <c r="T7" s="44"/>
      <c r="U7" s="44"/>
      <c r="V7" s="44"/>
      <c r="W7" s="44"/>
    </row>
    <row r="8" spans="1:23" ht="12.75" customHeight="1">
      <c r="A8" s="42"/>
      <c r="B8" s="42"/>
      <c r="C8" s="42"/>
      <c r="D8" s="42"/>
      <c r="E8" s="42"/>
      <c r="F8" s="42"/>
      <c r="G8" s="42"/>
      <c r="H8" s="42"/>
      <c r="I8" s="42"/>
      <c r="J8" s="42"/>
      <c r="K8" s="42"/>
      <c r="R8" s="44"/>
      <c r="S8" s="44"/>
      <c r="T8" s="44"/>
      <c r="U8" s="44"/>
      <c r="V8" s="44"/>
      <c r="W8" s="44"/>
    </row>
    <row r="9" spans="1:23" ht="12.75" customHeight="1">
      <c r="A9" s="42"/>
      <c r="B9" s="42"/>
      <c r="C9" s="42"/>
      <c r="D9" s="42"/>
      <c r="E9" s="42"/>
      <c r="F9" s="42"/>
      <c r="G9" s="42"/>
      <c r="H9" s="42"/>
      <c r="I9" s="42"/>
      <c r="J9" s="42"/>
      <c r="K9" s="42"/>
      <c r="R9" s="44"/>
      <c r="S9" s="44"/>
      <c r="T9" s="44"/>
      <c r="U9" s="44"/>
      <c r="V9" s="44"/>
      <c r="W9" s="44"/>
    </row>
    <row r="10" spans="1:23" ht="12.75" customHeight="1">
      <c r="A10" s="42"/>
      <c r="B10" s="42"/>
      <c r="C10" s="42"/>
      <c r="D10" s="42"/>
      <c r="E10" s="42"/>
      <c r="F10" s="42"/>
      <c r="G10" s="42"/>
      <c r="H10" s="42"/>
      <c r="I10" s="42"/>
      <c r="J10" s="42"/>
      <c r="K10" s="42"/>
      <c r="R10" s="44"/>
      <c r="S10" s="44"/>
      <c r="T10" s="44"/>
      <c r="U10" s="44"/>
      <c r="V10" s="44"/>
      <c r="W10" s="44"/>
    </row>
    <row r="11" spans="1:23" ht="12.75" customHeight="1">
      <c r="A11" s="42"/>
      <c r="B11" s="42"/>
      <c r="C11" s="42"/>
      <c r="D11" s="42"/>
      <c r="E11" s="42"/>
      <c r="F11" s="42"/>
      <c r="G11" s="42"/>
      <c r="H11" s="42"/>
      <c r="I11" s="42"/>
      <c r="J11" s="42"/>
      <c r="K11" s="42"/>
      <c r="R11" s="44"/>
      <c r="S11" s="44"/>
      <c r="T11" s="44"/>
      <c r="U11" s="44"/>
      <c r="V11" s="44"/>
      <c r="W11" s="44"/>
    </row>
    <row r="12" spans="1:23" ht="12.75" customHeight="1">
      <c r="A12" s="42"/>
      <c r="B12" s="42"/>
      <c r="C12" s="42"/>
      <c r="D12" s="42"/>
      <c r="E12" s="42"/>
      <c r="F12" s="42"/>
      <c r="G12" s="42"/>
      <c r="H12" s="42"/>
      <c r="I12" s="42"/>
      <c r="J12" s="42"/>
      <c r="K12" s="42"/>
      <c r="R12" s="44"/>
      <c r="S12" s="44"/>
      <c r="T12" s="44"/>
      <c r="U12" s="44"/>
      <c r="V12" s="44"/>
      <c r="W12" s="44"/>
    </row>
    <row r="13" spans="1:23" ht="12.75" customHeight="1">
      <c r="A13" s="42"/>
      <c r="B13" s="42"/>
      <c r="C13" s="42"/>
      <c r="D13" s="42"/>
      <c r="E13" s="42"/>
      <c r="F13" s="42"/>
      <c r="G13" s="42"/>
      <c r="H13" s="42"/>
      <c r="I13" s="42"/>
      <c r="J13" s="42"/>
      <c r="K13" s="42"/>
      <c r="R13" s="44"/>
      <c r="S13" s="44"/>
      <c r="T13" s="44"/>
      <c r="U13" s="44"/>
      <c r="V13" s="44"/>
      <c r="W13" s="44"/>
    </row>
    <row r="14" spans="1:23" ht="12.75" customHeight="1">
      <c r="A14" s="42"/>
      <c r="B14" s="42"/>
      <c r="C14" s="42"/>
      <c r="D14" s="42"/>
      <c r="E14" s="42"/>
      <c r="F14" s="42"/>
      <c r="G14" s="42"/>
      <c r="H14" s="42"/>
      <c r="I14" s="42"/>
      <c r="J14" s="42"/>
      <c r="K14" s="42"/>
      <c r="R14" s="44"/>
      <c r="S14" s="44"/>
      <c r="T14" s="44"/>
      <c r="U14" s="44"/>
      <c r="V14" s="44"/>
      <c r="W14" s="44"/>
    </row>
    <row r="15" spans="1:23" ht="12.75" customHeight="1" thickBot="1">
      <c r="A15" s="42"/>
      <c r="B15" s="42"/>
      <c r="C15" s="42"/>
      <c r="D15" s="42"/>
      <c r="E15" s="42"/>
      <c r="F15" s="42"/>
      <c r="G15" s="42"/>
      <c r="H15" s="42"/>
      <c r="I15" s="42"/>
      <c r="J15" s="42"/>
      <c r="K15" s="42"/>
      <c r="R15" s="44"/>
      <c r="S15" s="44"/>
      <c r="T15" s="44"/>
      <c r="U15" s="44"/>
      <c r="V15" s="44"/>
      <c r="W15" s="44"/>
    </row>
    <row r="16" spans="1:23" ht="19.5" customHeight="1" thickBot="1">
      <c r="A16" s="42"/>
      <c r="B16" s="206" t="s">
        <v>102</v>
      </c>
      <c r="C16" s="42"/>
      <c r="D16" s="42"/>
      <c r="E16" s="42"/>
      <c r="F16" s="42"/>
      <c r="G16" s="42"/>
      <c r="H16" s="42"/>
      <c r="I16" s="42"/>
      <c r="J16" s="207" t="s">
        <v>103</v>
      </c>
      <c r="K16" s="67"/>
      <c r="R16" s="44"/>
      <c r="S16" s="44"/>
      <c r="T16" s="44"/>
      <c r="U16" s="44"/>
      <c r="V16" s="44"/>
      <c r="W16" s="44"/>
    </row>
    <row r="17" spans="1:23" ht="12.75" customHeight="1" thickBot="1">
      <c r="A17" s="42"/>
      <c r="B17" s="42"/>
      <c r="C17" s="42"/>
      <c r="D17" s="42"/>
      <c r="E17" s="42"/>
      <c r="F17" s="42"/>
      <c r="G17" s="42"/>
      <c r="H17" s="42"/>
      <c r="I17" s="42"/>
      <c r="J17" s="42"/>
      <c r="K17" s="42"/>
      <c r="R17" s="44"/>
      <c r="S17" s="44"/>
      <c r="T17" s="44"/>
      <c r="U17" s="44"/>
      <c r="V17" s="44"/>
      <c r="W17" s="44"/>
    </row>
    <row r="18" spans="1:23" ht="19.5" customHeight="1" thickBot="1">
      <c r="A18" s="42"/>
      <c r="B18" s="206" t="s">
        <v>105</v>
      </c>
      <c r="C18" s="42"/>
      <c r="D18" s="42"/>
      <c r="E18" s="42"/>
      <c r="F18" s="42"/>
      <c r="G18" s="42"/>
      <c r="H18" s="42"/>
      <c r="I18" s="42"/>
      <c r="J18" s="207" t="s">
        <v>104</v>
      </c>
      <c r="K18" s="67"/>
      <c r="R18" s="44"/>
      <c r="S18" s="44"/>
      <c r="T18" s="44"/>
      <c r="U18" s="44"/>
      <c r="V18" s="44"/>
      <c r="W18" s="44"/>
    </row>
    <row r="19" spans="1:23" ht="12.75" customHeight="1">
      <c r="A19" s="42"/>
      <c r="B19" s="42"/>
      <c r="C19" s="42"/>
      <c r="D19" s="42"/>
      <c r="E19" s="42"/>
      <c r="F19" s="42"/>
      <c r="G19" s="42"/>
      <c r="H19" s="42"/>
      <c r="I19" s="42"/>
      <c r="J19" s="42"/>
      <c r="K19" s="42"/>
      <c r="R19" s="44"/>
      <c r="S19" s="44"/>
      <c r="T19" s="44"/>
      <c r="U19" s="44"/>
      <c r="V19" s="44"/>
      <c r="W19" s="44"/>
    </row>
    <row r="20" spans="1:23" ht="12.75" customHeight="1">
      <c r="A20" s="42"/>
      <c r="B20" s="42"/>
      <c r="C20" s="42"/>
      <c r="D20" s="42"/>
      <c r="E20" s="42"/>
      <c r="F20" s="42"/>
      <c r="G20" s="42"/>
      <c r="H20" s="42"/>
      <c r="I20" s="42"/>
      <c r="J20" s="42"/>
      <c r="K20" s="42"/>
      <c r="R20" s="44"/>
      <c r="S20" s="44"/>
      <c r="T20" s="44"/>
      <c r="U20" s="44"/>
      <c r="V20" s="44"/>
      <c r="W20" s="44"/>
    </row>
    <row r="21" spans="1:23" ht="12.75" customHeight="1">
      <c r="A21" s="42"/>
      <c r="B21" s="42"/>
      <c r="C21" s="42"/>
      <c r="D21" s="42"/>
      <c r="E21" s="42"/>
      <c r="F21" s="42"/>
      <c r="G21" s="42"/>
      <c r="H21" s="42"/>
      <c r="I21" s="42"/>
      <c r="J21" s="42"/>
      <c r="K21" s="42"/>
      <c r="L21" s="44" t="e">
        <f>3/4*(K16+K18)/(K16+2*K18)</f>
        <v>#DIV/0!</v>
      </c>
      <c r="M21" s="44" t="s">
        <v>107</v>
      </c>
      <c r="R21" s="44"/>
      <c r="S21" s="44"/>
      <c r="T21" s="44"/>
      <c r="U21" s="44"/>
      <c r="V21" s="44"/>
      <c r="W21" s="44"/>
    </row>
    <row r="22" spans="1:23" ht="12.75" customHeight="1">
      <c r="A22" s="42"/>
      <c r="B22" s="42"/>
      <c r="C22" s="42"/>
      <c r="D22" s="42"/>
      <c r="E22" s="42"/>
      <c r="F22" s="42"/>
      <c r="G22" s="42"/>
      <c r="H22" s="42"/>
      <c r="I22" s="42"/>
      <c r="J22" s="42"/>
      <c r="K22" s="42"/>
      <c r="L22" s="44" t="e">
        <f>K18+(K16-K18)*L21^2</f>
        <v>#DIV/0!</v>
      </c>
      <c r="M22" s="44" t="s">
        <v>106</v>
      </c>
      <c r="R22" s="44"/>
      <c r="S22" s="44"/>
      <c r="T22" s="44"/>
      <c r="U22" s="44"/>
      <c r="V22" s="44"/>
      <c r="W22" s="44"/>
    </row>
    <row r="23" spans="1:23" ht="12.75" customHeight="1">
      <c r="A23" s="42"/>
      <c r="B23" s="42"/>
      <c r="C23" s="42"/>
      <c r="D23" s="42"/>
      <c r="E23" s="42"/>
      <c r="F23" s="42"/>
      <c r="G23" s="42"/>
      <c r="H23" s="42"/>
      <c r="I23" s="42"/>
      <c r="J23" s="42"/>
      <c r="K23" s="42"/>
      <c r="R23" s="44"/>
      <c r="S23" s="44"/>
      <c r="T23" s="44"/>
      <c r="U23" s="44"/>
      <c r="V23" s="44"/>
      <c r="W23" s="44"/>
    </row>
    <row r="24" spans="1:23" ht="12.75" customHeight="1" thickBot="1">
      <c r="A24" s="42"/>
      <c r="B24" s="42"/>
      <c r="C24" s="42"/>
      <c r="D24" s="42"/>
      <c r="E24" s="42"/>
      <c r="F24" s="42"/>
      <c r="G24" s="42"/>
      <c r="H24" s="42"/>
      <c r="I24" s="42"/>
      <c r="J24" s="42"/>
      <c r="K24" s="42"/>
      <c r="R24" s="44"/>
      <c r="S24" s="44"/>
      <c r="T24" s="44"/>
      <c r="U24" s="44"/>
      <c r="V24" s="44"/>
      <c r="W24" s="44"/>
    </row>
    <row r="25" spans="1:23" ht="24.75" customHeight="1" thickBot="1">
      <c r="A25" s="42"/>
      <c r="B25" s="42"/>
      <c r="C25" s="42"/>
      <c r="D25" s="42"/>
      <c r="E25" s="42"/>
      <c r="F25" s="45" t="s">
        <v>108</v>
      </c>
      <c r="G25" s="208" t="e">
        <f>(K16+L22)/2</f>
        <v>#DIV/0!</v>
      </c>
      <c r="H25" s="42"/>
      <c r="I25" s="391" t="s">
        <v>109</v>
      </c>
      <c r="J25" s="392"/>
      <c r="K25" s="209">
        <f>IF(OR(K16="",K18=""),"",MIN(1,0.8*(G25/6)^2))</f>
      </c>
      <c r="R25" s="44"/>
      <c r="S25" s="44"/>
      <c r="T25" s="44"/>
      <c r="U25" s="44"/>
      <c r="V25" s="44"/>
      <c r="W25" s="44"/>
    </row>
    <row r="26" spans="1:23" ht="12.75" customHeight="1">
      <c r="A26" s="42"/>
      <c r="B26" s="42"/>
      <c r="C26" s="42"/>
      <c r="D26" s="42"/>
      <c r="E26" s="42"/>
      <c r="F26" s="42"/>
      <c r="G26" s="42"/>
      <c r="H26" s="42"/>
      <c r="I26" s="42"/>
      <c r="J26" s="42"/>
      <c r="K26" s="42"/>
      <c r="R26" s="44"/>
      <c r="S26" s="44"/>
      <c r="T26" s="44"/>
      <c r="U26" s="44"/>
      <c r="V26" s="44"/>
      <c r="W26" s="44"/>
    </row>
    <row r="27" spans="1:23" ht="12.75" customHeight="1">
      <c r="A27" s="42"/>
      <c r="B27" s="42"/>
      <c r="C27" s="42"/>
      <c r="D27" s="42"/>
      <c r="E27" s="42"/>
      <c r="F27" s="42"/>
      <c r="G27" s="42"/>
      <c r="H27" s="42"/>
      <c r="I27" s="42"/>
      <c r="J27" s="42"/>
      <c r="K27" s="42"/>
      <c r="R27" s="44"/>
      <c r="S27" s="44"/>
      <c r="T27" s="44"/>
      <c r="U27" s="44"/>
      <c r="V27" s="44"/>
      <c r="W27" s="44"/>
    </row>
    <row r="28" spans="1:23" ht="12.75" customHeight="1">
      <c r="A28" s="204" t="s">
        <v>265</v>
      </c>
      <c r="B28" s="204"/>
      <c r="C28" s="204"/>
      <c r="D28" s="204"/>
      <c r="E28" s="42"/>
      <c r="F28" s="42"/>
      <c r="G28" s="42"/>
      <c r="H28" s="42"/>
      <c r="I28" s="42"/>
      <c r="J28" s="42"/>
      <c r="K28" s="42"/>
      <c r="R28" s="44"/>
      <c r="S28" s="44"/>
      <c r="T28" s="44"/>
      <c r="U28" s="44"/>
      <c r="V28" s="44"/>
      <c r="W28" s="44"/>
    </row>
    <row r="29" spans="1:23" ht="12.75" customHeight="1">
      <c r="A29" s="42"/>
      <c r="B29" s="42"/>
      <c r="C29" s="42"/>
      <c r="D29" s="42"/>
      <c r="E29" s="42"/>
      <c r="F29" s="42"/>
      <c r="G29" s="42"/>
      <c r="H29" s="42"/>
      <c r="I29" s="42"/>
      <c r="J29" s="42"/>
      <c r="K29" s="42"/>
      <c r="R29" s="44"/>
      <c r="S29" s="44"/>
      <c r="T29" s="44"/>
      <c r="U29" s="44"/>
      <c r="V29" s="44"/>
      <c r="W29" s="44"/>
    </row>
    <row r="30" spans="1:23" ht="12.75" customHeight="1">
      <c r="A30" s="42"/>
      <c r="B30" s="42"/>
      <c r="C30" s="42"/>
      <c r="D30" s="42"/>
      <c r="E30" s="42"/>
      <c r="F30" s="42"/>
      <c r="G30" s="42"/>
      <c r="H30" s="42"/>
      <c r="I30" s="42"/>
      <c r="J30" s="42"/>
      <c r="K30" s="42"/>
      <c r="N30" s="44" t="s">
        <v>505</v>
      </c>
      <c r="O30" s="44" t="s">
        <v>506</v>
      </c>
      <c r="R30" s="44"/>
      <c r="S30" s="44"/>
      <c r="T30" s="44"/>
      <c r="U30" s="44"/>
      <c r="V30" s="44"/>
      <c r="W30" s="44"/>
    </row>
    <row r="31" spans="1:23" ht="12.75" customHeight="1" thickBot="1">
      <c r="A31" s="42"/>
      <c r="B31" s="42"/>
      <c r="C31" s="42"/>
      <c r="D31" s="42"/>
      <c r="E31" s="42"/>
      <c r="F31" s="206"/>
      <c r="G31" s="42"/>
      <c r="H31" s="42"/>
      <c r="I31" s="42"/>
      <c r="J31" s="42"/>
      <c r="K31" s="42"/>
      <c r="M31" s="44" t="s">
        <v>508</v>
      </c>
      <c r="N31" s="44" t="e">
        <f>K34/K32</f>
        <v>#DIV/0!</v>
      </c>
      <c r="O31" s="44">
        <f>(K36+K38)/15</f>
        <v>0</v>
      </c>
      <c r="R31" s="44"/>
      <c r="S31" s="44"/>
      <c r="T31" s="44"/>
      <c r="U31" s="44"/>
      <c r="V31" s="44"/>
      <c r="W31" s="44"/>
    </row>
    <row r="32" spans="1:23" ht="12.75" customHeight="1" thickBot="1">
      <c r="A32" s="42"/>
      <c r="B32" s="42"/>
      <c r="C32" s="42"/>
      <c r="D32" s="42"/>
      <c r="E32" s="42"/>
      <c r="F32" s="206" t="s">
        <v>504</v>
      </c>
      <c r="G32" s="42"/>
      <c r="H32" s="42"/>
      <c r="I32" s="42"/>
      <c r="J32" s="206" t="s">
        <v>266</v>
      </c>
      <c r="K32" s="200"/>
      <c r="M32" s="44" t="e">
        <f>IF(O40=1,N32*O31*0.5,N32*O31)</f>
        <v>#DIV/0!</v>
      </c>
      <c r="N32" s="210" t="e">
        <f>IF(AND(N31&lt;0.2,K32&lt;5),0,N33)</f>
        <v>#DIV/0!</v>
      </c>
      <c r="O32" s="211" t="e">
        <f>IF(AND(N31&lt;0.2,K32&lt;15,K32&gt;=5),0.05,O33)</f>
        <v>#DIV/0!</v>
      </c>
      <c r="P32" s="211" t="e">
        <f>IF(AND(N31&lt;0.2,K32&gt;=15),0.1,P33)</f>
        <v>#DIV/0!</v>
      </c>
      <c r="R32" s="44"/>
      <c r="S32" s="44"/>
      <c r="T32" s="44"/>
      <c r="U32" s="44"/>
      <c r="V32" s="44"/>
      <c r="W32" s="44"/>
    </row>
    <row r="33" spans="1:23" ht="12.75" customHeight="1" thickBot="1">
      <c r="A33" s="42"/>
      <c r="B33" s="42"/>
      <c r="C33" s="42"/>
      <c r="D33" s="42"/>
      <c r="E33" s="42"/>
      <c r="F33" s="42"/>
      <c r="G33" s="42"/>
      <c r="H33" s="42"/>
      <c r="I33" s="42"/>
      <c r="J33" s="46"/>
      <c r="K33" s="212"/>
      <c r="N33" s="211" t="e">
        <f>IF(AND(N31&lt;0.5,N31&gt;=0.2,K32&lt;5),0.1,N34)</f>
        <v>#DIV/0!</v>
      </c>
      <c r="O33" s="211" t="e">
        <f>IF(AND(N31&lt;0.5,N31&gt;=0.2,K32&lt;15,K32&gt;=5),0.4,O34)</f>
        <v>#DIV/0!</v>
      </c>
      <c r="P33" s="211" t="e">
        <f>IF(AND(N31&lt;0.5,N31&gt;=0.2,K32&gt;=15),0.5,P34)</f>
        <v>#DIV/0!</v>
      </c>
      <c r="R33" s="44"/>
      <c r="S33" s="44"/>
      <c r="T33" s="44"/>
      <c r="U33" s="44"/>
      <c r="V33" s="44"/>
      <c r="W33" s="44"/>
    </row>
    <row r="34" spans="1:23" ht="12.75" customHeight="1" thickBot="1">
      <c r="A34" s="42"/>
      <c r="B34" s="42"/>
      <c r="C34" s="42"/>
      <c r="D34" s="42"/>
      <c r="E34" s="42"/>
      <c r="F34" s="206" t="s">
        <v>270</v>
      </c>
      <c r="G34" s="42"/>
      <c r="H34" s="42"/>
      <c r="I34" s="42"/>
      <c r="J34" s="206" t="s">
        <v>267</v>
      </c>
      <c r="K34" s="200"/>
      <c r="N34" s="211" t="e">
        <f>IF(AND(N31&lt;1,N31&gt;=0.5,K32&lt;5),0.2,O32)</f>
        <v>#DIV/0!</v>
      </c>
      <c r="O34" s="211" t="e">
        <f>IF(AND(N31&lt;1,N31&gt;=0.5,K32&lt;15,K32&gt;=5),0.8,P32)</f>
        <v>#DIV/0!</v>
      </c>
      <c r="P34" s="211">
        <v>1</v>
      </c>
      <c r="R34" s="44"/>
      <c r="S34" s="44"/>
      <c r="T34" s="44"/>
      <c r="U34" s="44"/>
      <c r="V34" s="44"/>
      <c r="W34" s="44"/>
    </row>
    <row r="35" spans="1:23" ht="12.75" customHeight="1">
      <c r="A35" s="42"/>
      <c r="B35" s="42"/>
      <c r="C35" s="42"/>
      <c r="D35" s="42"/>
      <c r="E35" s="42"/>
      <c r="F35" s="42"/>
      <c r="G35" s="42"/>
      <c r="H35" s="42"/>
      <c r="I35" s="42"/>
      <c r="J35" s="46"/>
      <c r="K35" s="212"/>
      <c r="N35" s="44" t="s">
        <v>507</v>
      </c>
      <c r="R35" s="44"/>
      <c r="S35" s="44"/>
      <c r="T35" s="44"/>
      <c r="U35" s="44"/>
      <c r="V35" s="44"/>
      <c r="W35" s="44"/>
    </row>
    <row r="36" spans="1:23" ht="12.75" customHeight="1">
      <c r="A36" s="42"/>
      <c r="B36" s="42"/>
      <c r="C36" s="42"/>
      <c r="D36" s="42"/>
      <c r="E36" s="42"/>
      <c r="F36" s="206" t="s">
        <v>271</v>
      </c>
      <c r="G36" s="42"/>
      <c r="H36" s="42"/>
      <c r="I36" s="42"/>
      <c r="J36" s="206" t="s">
        <v>268</v>
      </c>
      <c r="K36" s="222">
        <f>K16</f>
        <v>0</v>
      </c>
      <c r="R36" s="44"/>
      <c r="S36" s="44"/>
      <c r="T36" s="44"/>
      <c r="U36" s="44"/>
      <c r="V36" s="44"/>
      <c r="W36" s="44"/>
    </row>
    <row r="37" spans="1:23" ht="12.75" customHeight="1" thickBot="1">
      <c r="A37" s="42"/>
      <c r="B37" s="42"/>
      <c r="C37" s="42"/>
      <c r="D37" s="42"/>
      <c r="E37" s="42"/>
      <c r="F37" s="42"/>
      <c r="G37" s="42"/>
      <c r="H37" s="42"/>
      <c r="I37" s="42"/>
      <c r="J37" s="46"/>
      <c r="K37" s="212"/>
      <c r="R37" s="44"/>
      <c r="S37" s="44"/>
      <c r="T37" s="44"/>
      <c r="U37" s="44"/>
      <c r="V37" s="44"/>
      <c r="W37" s="44"/>
    </row>
    <row r="38" spans="1:23" ht="12.75" customHeight="1" thickBot="1">
      <c r="A38" s="42"/>
      <c r="B38" s="42"/>
      <c r="C38" s="42"/>
      <c r="D38" s="42"/>
      <c r="E38" s="42"/>
      <c r="F38" s="206" t="s">
        <v>277</v>
      </c>
      <c r="G38" s="42"/>
      <c r="H38" s="42"/>
      <c r="I38" s="42"/>
      <c r="J38" s="206" t="s">
        <v>269</v>
      </c>
      <c r="K38" s="200"/>
      <c r="R38" s="44"/>
      <c r="S38" s="44"/>
      <c r="T38" s="44"/>
      <c r="U38" s="44"/>
      <c r="V38" s="44"/>
      <c r="W38" s="44"/>
    </row>
    <row r="39" spans="1:17" ht="12.75" customHeight="1">
      <c r="A39" s="42"/>
      <c r="B39" s="42"/>
      <c r="C39" s="42"/>
      <c r="D39" s="42"/>
      <c r="E39" s="42"/>
      <c r="F39" s="42"/>
      <c r="G39" s="42"/>
      <c r="H39" s="42"/>
      <c r="I39" s="42"/>
      <c r="L39" s="216"/>
      <c r="M39" s="216"/>
      <c r="N39" s="216"/>
      <c r="O39" s="216"/>
      <c r="P39" s="216"/>
      <c r="Q39" s="216"/>
    </row>
    <row r="40" spans="1:17" ht="12.75" customHeight="1">
      <c r="A40" s="42"/>
      <c r="B40" s="42"/>
      <c r="C40" s="42"/>
      <c r="D40" s="42"/>
      <c r="E40" s="42"/>
      <c r="F40" s="206" t="s">
        <v>272</v>
      </c>
      <c r="G40" s="42"/>
      <c r="H40" s="42"/>
      <c r="I40" s="42"/>
      <c r="L40" s="216"/>
      <c r="M40" s="216">
        <v>1</v>
      </c>
      <c r="N40" s="221" t="s">
        <v>245</v>
      </c>
      <c r="O40" s="221">
        <v>1</v>
      </c>
      <c r="P40" s="216"/>
      <c r="Q40" s="216"/>
    </row>
    <row r="41" spans="1:17" ht="12.75" customHeight="1">
      <c r="A41" s="42"/>
      <c r="B41" s="42"/>
      <c r="C41" s="42"/>
      <c r="D41" s="42"/>
      <c r="E41" s="42"/>
      <c r="F41" s="42"/>
      <c r="G41" s="42"/>
      <c r="H41" s="42"/>
      <c r="I41" s="42"/>
      <c r="L41" s="216"/>
      <c r="M41" s="216"/>
      <c r="N41" s="221" t="s">
        <v>246</v>
      </c>
      <c r="O41" s="221"/>
      <c r="P41" s="216"/>
      <c r="Q41" s="216"/>
    </row>
    <row r="42" spans="1:23" ht="12.75" customHeight="1">
      <c r="A42" s="42"/>
      <c r="B42" s="42"/>
      <c r="C42" s="42"/>
      <c r="D42" s="42"/>
      <c r="E42" s="42"/>
      <c r="F42" s="42"/>
      <c r="G42" s="42"/>
      <c r="H42" s="42"/>
      <c r="I42" s="42"/>
      <c r="J42" s="42"/>
      <c r="K42" s="42"/>
      <c r="R42" s="44"/>
      <c r="S42" s="44"/>
      <c r="T42" s="44"/>
      <c r="U42" s="44"/>
      <c r="V42" s="44"/>
      <c r="W42" s="44"/>
    </row>
    <row r="43" spans="1:23" ht="12.75" customHeight="1" thickBot="1">
      <c r="A43" s="42"/>
      <c r="B43" s="42"/>
      <c r="C43" s="42"/>
      <c r="D43" s="42"/>
      <c r="E43" s="42"/>
      <c r="F43" s="42"/>
      <c r="G43" s="42"/>
      <c r="H43" s="42"/>
      <c r="I43" s="42"/>
      <c r="J43" s="42"/>
      <c r="K43" s="42"/>
      <c r="R43" s="44"/>
      <c r="S43" s="44"/>
      <c r="T43" s="44"/>
      <c r="U43" s="44"/>
      <c r="V43" s="44"/>
      <c r="W43" s="44"/>
    </row>
    <row r="44" spans="1:23" ht="21.75" customHeight="1" thickBot="1">
      <c r="A44" s="42"/>
      <c r="B44" s="42"/>
      <c r="C44" s="42"/>
      <c r="D44" s="42"/>
      <c r="E44" s="42"/>
      <c r="F44" s="42"/>
      <c r="G44" s="42"/>
      <c r="H44" s="42"/>
      <c r="I44" s="391" t="s">
        <v>274</v>
      </c>
      <c r="J44" s="392"/>
      <c r="K44" s="209" t="e">
        <f>MIN(1,M32)</f>
        <v>#DIV/0!</v>
      </c>
      <c r="R44" s="44"/>
      <c r="S44" s="44"/>
      <c r="T44" s="44"/>
      <c r="U44" s="44"/>
      <c r="V44" s="44"/>
      <c r="W44" s="44"/>
    </row>
    <row r="45" spans="1:23" ht="12.75" customHeight="1">
      <c r="A45" s="42"/>
      <c r="B45" s="42"/>
      <c r="C45" s="42"/>
      <c r="D45" s="42"/>
      <c r="E45" s="42"/>
      <c r="F45" s="42"/>
      <c r="G45" s="42"/>
      <c r="H45" s="42"/>
      <c r="I45" s="42"/>
      <c r="J45" s="42"/>
      <c r="K45" s="42"/>
      <c r="R45" s="44"/>
      <c r="S45" s="44"/>
      <c r="T45" s="44"/>
      <c r="U45" s="44"/>
      <c r="V45" s="44"/>
      <c r="W45" s="44"/>
    </row>
    <row r="46" spans="1:23" ht="12.75" customHeight="1" thickBot="1">
      <c r="A46" s="42"/>
      <c r="B46" s="42"/>
      <c r="C46" s="42"/>
      <c r="D46" s="42"/>
      <c r="E46" s="42"/>
      <c r="F46" s="42"/>
      <c r="G46" s="42"/>
      <c r="H46" s="42"/>
      <c r="I46" s="42"/>
      <c r="J46" s="42"/>
      <c r="K46" s="42"/>
      <c r="R46" s="44"/>
      <c r="S46" s="44"/>
      <c r="T46" s="44"/>
      <c r="U46" s="44"/>
      <c r="V46" s="44"/>
      <c r="W46" s="44"/>
    </row>
    <row r="47" spans="1:23" ht="17.25" customHeight="1" thickBot="1" thickTop="1">
      <c r="A47" s="42"/>
      <c r="B47" s="42"/>
      <c r="C47" s="42"/>
      <c r="D47" s="42"/>
      <c r="E47" s="42"/>
      <c r="F47" s="42"/>
      <c r="G47" s="42"/>
      <c r="H47" s="42"/>
      <c r="I47" s="389" t="s">
        <v>273</v>
      </c>
      <c r="J47" s="390"/>
      <c r="K47" s="213" t="e">
        <f>MIN(1,K25+K44*0.15)</f>
        <v>#VALUE!</v>
      </c>
      <c r="R47" s="44"/>
      <c r="S47" s="44"/>
      <c r="T47" s="44"/>
      <c r="U47" s="44"/>
      <c r="V47" s="44"/>
      <c r="W47" s="44"/>
    </row>
    <row r="48" spans="1:23" ht="12.75" customHeight="1" thickTop="1">
      <c r="A48" s="42"/>
      <c r="B48" s="42"/>
      <c r="C48" s="42"/>
      <c r="D48" s="42"/>
      <c r="E48" s="42"/>
      <c r="F48" s="42"/>
      <c r="G48" s="42"/>
      <c r="H48" s="42"/>
      <c r="I48" s="42"/>
      <c r="J48" s="42"/>
      <c r="K48" s="42"/>
      <c r="R48" s="44"/>
      <c r="S48" s="44"/>
      <c r="T48" s="44"/>
      <c r="U48" s="44"/>
      <c r="V48" s="44"/>
      <c r="W48" s="44"/>
    </row>
    <row r="49" spans="1:23" ht="12.75" customHeight="1">
      <c r="A49" s="42"/>
      <c r="B49" s="42"/>
      <c r="C49" s="42"/>
      <c r="D49" s="42"/>
      <c r="E49" s="42"/>
      <c r="F49" s="42"/>
      <c r="G49" s="42"/>
      <c r="H49" s="42"/>
      <c r="I49" s="42"/>
      <c r="J49" s="42"/>
      <c r="K49" s="42"/>
      <c r="R49" s="44"/>
      <c r="S49" s="44"/>
      <c r="T49" s="44"/>
      <c r="U49" s="44"/>
      <c r="V49" s="44"/>
      <c r="W49" s="44"/>
    </row>
    <row r="50" spans="1:23" ht="12.75" customHeight="1">
      <c r="A50" s="42"/>
      <c r="B50" s="42"/>
      <c r="C50" s="42"/>
      <c r="D50" s="42"/>
      <c r="E50" s="42"/>
      <c r="F50" s="42"/>
      <c r="G50" s="42"/>
      <c r="H50" s="42"/>
      <c r="I50" s="42"/>
      <c r="J50" s="42"/>
      <c r="K50" s="42"/>
      <c r="R50" s="44"/>
      <c r="S50" s="44"/>
      <c r="T50" s="44"/>
      <c r="U50" s="44"/>
      <c r="V50" s="44"/>
      <c r="W50" s="44"/>
    </row>
    <row r="51" spans="1:23" ht="12.75" customHeight="1">
      <c r="A51" s="42"/>
      <c r="B51" s="42"/>
      <c r="C51" s="42"/>
      <c r="D51" s="42"/>
      <c r="E51" s="42"/>
      <c r="F51" s="42"/>
      <c r="G51" s="42"/>
      <c r="H51" s="42"/>
      <c r="I51" s="42"/>
      <c r="J51" s="42"/>
      <c r="K51" s="42"/>
      <c r="R51" s="44"/>
      <c r="S51" s="44"/>
      <c r="T51" s="44"/>
      <c r="U51" s="44"/>
      <c r="V51" s="44"/>
      <c r="W51" s="44"/>
    </row>
  </sheetData>
  <sheetProtection password="EECD" sheet="1" objects="1" scenarios="1"/>
  <mergeCells count="4">
    <mergeCell ref="I47:J47"/>
    <mergeCell ref="I25:J25"/>
    <mergeCell ref="K1:K2"/>
    <mergeCell ref="I44:J44"/>
  </mergeCells>
  <printOptions/>
  <pageMargins left="0.7874015748031497" right="0.7874015748031497" top="0.7874015748031497" bottom="0.7874015748031497" header="0.5118110236220472" footer="0.5118110236220472"/>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2"/>
  <dimension ref="A1:Z134"/>
  <sheetViews>
    <sheetView workbookViewId="0" topLeftCell="A1">
      <pane ySplit="2" topLeftCell="BM3" activePane="bottomLeft" state="frozen"/>
      <selection pane="topLeft" activeCell="A1" sqref="A1"/>
      <selection pane="bottomLeft" activeCell="B23" sqref="B23"/>
    </sheetView>
  </sheetViews>
  <sheetFormatPr defaultColWidth="11.421875" defaultRowHeight="12.75"/>
  <cols>
    <col min="1" max="1" width="9.28125" style="37" customWidth="1"/>
    <col min="2" max="15" width="8.7109375" style="37" customWidth="1"/>
    <col min="16" max="16" width="8.7109375" style="2" hidden="1" customWidth="1"/>
    <col min="17" max="18" width="10.7109375" style="2" hidden="1" customWidth="1"/>
    <col min="19" max="27" width="8.7109375" style="2" hidden="1" customWidth="1"/>
    <col min="28" max="16384" width="8.7109375" style="2" customWidth="1"/>
  </cols>
  <sheetData>
    <row r="1" spans="1:17" s="134" customFormat="1" ht="19.5" customHeight="1" thickTop="1">
      <c r="A1" s="150"/>
      <c r="B1" s="150"/>
      <c r="C1" s="151" t="s">
        <v>218</v>
      </c>
      <c r="D1" s="151" t="s">
        <v>275</v>
      </c>
      <c r="E1" s="151" t="s">
        <v>219</v>
      </c>
      <c r="F1" s="151" t="s">
        <v>220</v>
      </c>
      <c r="G1" s="151" t="s">
        <v>221</v>
      </c>
      <c r="H1" s="241" t="s">
        <v>331</v>
      </c>
      <c r="I1" s="150"/>
      <c r="J1" s="242" t="s">
        <v>332</v>
      </c>
      <c r="K1" s="241" t="s">
        <v>333</v>
      </c>
      <c r="L1" s="242" t="s">
        <v>334</v>
      </c>
      <c r="M1" s="368"/>
      <c r="N1" s="395"/>
      <c r="O1" s="154"/>
      <c r="P1" s="135"/>
      <c r="Q1" s="135"/>
    </row>
    <row r="2" spans="1:15" s="137" customFormat="1" ht="24.75" customHeight="1" thickBot="1">
      <c r="A2" s="152"/>
      <c r="B2" s="152"/>
      <c r="C2" s="153">
        <f>Résumé!$C$5</f>
      </c>
      <c r="D2" s="153" t="str">
        <f>Résumé!$W$24</f>
        <v>-</v>
      </c>
      <c r="E2" s="153">
        <f>Résumé!$W$15</f>
      </c>
      <c r="F2" s="153">
        <f>Résumé!$W$18</f>
      </c>
      <c r="G2" s="153">
        <f>IF(OR(Général!$L$91=2,Général!$L$91=5,Général!$G$100=1)," -",IF(Résumé!$C$16="","",Résumé!$C$16))</f>
        <v>0</v>
      </c>
      <c r="H2" s="243" t="e">
        <f>Général!$N$120</f>
        <v>#VALUE!</v>
      </c>
      <c r="I2" s="152"/>
      <c r="J2" s="243">
        <f>Env!$K$19</f>
        <v>1</v>
      </c>
      <c r="K2" s="243">
        <f>Env!$K$23</f>
        <v>1</v>
      </c>
      <c r="L2" s="244">
        <f>Env!$K$86</f>
        <v>0.7</v>
      </c>
      <c r="M2" s="369"/>
      <c r="N2" s="396"/>
      <c r="O2" s="152"/>
    </row>
    <row r="3" spans="1:15" s="5" customFormat="1" ht="12.75" customHeight="1" thickTop="1">
      <c r="A3" s="3" t="s">
        <v>158</v>
      </c>
      <c r="B3" s="4"/>
      <c r="C3" s="4"/>
      <c r="D3" s="4"/>
      <c r="E3" s="4"/>
      <c r="F3" s="4"/>
      <c r="G3" s="4"/>
      <c r="H3" s="4"/>
      <c r="I3" s="4"/>
      <c r="J3" s="4"/>
      <c r="K3" s="4"/>
      <c r="L3" s="4"/>
      <c r="M3" s="4"/>
      <c r="N3" s="4"/>
      <c r="O3" s="4"/>
    </row>
    <row r="4" spans="1:15" s="5" customFormat="1" ht="6" customHeight="1" thickBot="1">
      <c r="A4" s="3"/>
      <c r="B4" s="4"/>
      <c r="C4" s="4"/>
      <c r="D4" s="4"/>
      <c r="E4" s="4"/>
      <c r="F4" s="4"/>
      <c r="G4" s="4"/>
      <c r="H4" s="4"/>
      <c r="I4" s="4"/>
      <c r="J4" s="4"/>
      <c r="K4" s="4"/>
      <c r="L4" s="4"/>
      <c r="M4" s="4"/>
      <c r="N4" s="4"/>
      <c r="O4" s="4"/>
    </row>
    <row r="5" spans="1:17" s="5" customFormat="1" ht="19.5" customHeight="1" thickBot="1">
      <c r="A5" s="3"/>
      <c r="B5" s="4" t="s">
        <v>214</v>
      </c>
      <c r="C5" s="4"/>
      <c r="D5" s="4"/>
      <c r="E5" s="4"/>
      <c r="G5" s="4"/>
      <c r="H5" s="4"/>
      <c r="I5" s="4"/>
      <c r="J5" s="4"/>
      <c r="K5" s="4"/>
      <c r="L5" s="4"/>
      <c r="M5" s="4"/>
      <c r="N5" s="33"/>
      <c r="O5" s="4"/>
      <c r="P5" s="35">
        <f>MAX(1,1+(75-0.9*N5)/120)</f>
        <v>1.625</v>
      </c>
      <c r="Q5" s="5" t="s">
        <v>231</v>
      </c>
    </row>
    <row r="6" spans="1:15" s="5" customFormat="1" ht="6" customHeight="1">
      <c r="A6" s="3"/>
      <c r="B6" s="4"/>
      <c r="C6" s="4"/>
      <c r="D6" s="4"/>
      <c r="E6" s="4"/>
      <c r="F6" s="4"/>
      <c r="G6" s="4"/>
      <c r="H6" s="4"/>
      <c r="I6" s="4"/>
      <c r="J6" s="4"/>
      <c r="K6" s="4"/>
      <c r="L6" s="4"/>
      <c r="M6" s="4"/>
      <c r="N6" s="4"/>
      <c r="O6" s="4"/>
    </row>
    <row r="7" spans="1:15" s="5" customFormat="1" ht="12.75" customHeight="1">
      <c r="A7" s="3" t="s">
        <v>37</v>
      </c>
      <c r="B7" s="4"/>
      <c r="C7" s="4"/>
      <c r="D7" s="4"/>
      <c r="E7" s="4"/>
      <c r="F7" s="4"/>
      <c r="G7" s="4"/>
      <c r="H7" s="4"/>
      <c r="I7" s="4"/>
      <c r="J7" s="4"/>
      <c r="K7" s="4"/>
      <c r="L7" s="4"/>
      <c r="M7" s="4"/>
      <c r="N7" s="4"/>
      <c r="O7" s="4"/>
    </row>
    <row r="13" ht="12.75">
      <c r="P13" s="34">
        <v>3</v>
      </c>
    </row>
    <row r="14" ht="12.75">
      <c r="P14" s="38" t="s">
        <v>41</v>
      </c>
    </row>
    <row r="15" spans="2:16" ht="12.75">
      <c r="B15" s="7" t="s">
        <v>38</v>
      </c>
      <c r="P15" s="39" t="s">
        <v>39</v>
      </c>
    </row>
    <row r="16" ht="12.75">
      <c r="P16" s="40" t="s">
        <v>40</v>
      </c>
    </row>
    <row r="17" ht="12.75">
      <c r="A17" s="3" t="s">
        <v>42</v>
      </c>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c r="P38" s="2">
        <v>1</v>
      </c>
    </row>
    <row r="39" ht="12.75">
      <c r="P39" s="2">
        <v>2</v>
      </c>
    </row>
    <row r="40" spans="1:16" ht="12.75">
      <c r="A40" s="3" t="s">
        <v>152</v>
      </c>
      <c r="P40" s="2">
        <v>3</v>
      </c>
    </row>
    <row r="41" ht="6" customHeight="1"/>
    <row r="42" spans="5:17" ht="12.75">
      <c r="E42" s="41" t="s">
        <v>68</v>
      </c>
      <c r="G42" s="41" t="s">
        <v>70</v>
      </c>
      <c r="I42" s="41" t="s">
        <v>72</v>
      </c>
      <c r="P42" s="94">
        <f>Résumé!F25</f>
        <v>2</v>
      </c>
      <c r="Q42" s="2" t="s">
        <v>90</v>
      </c>
    </row>
    <row r="43" spans="5:25" ht="12.75">
      <c r="E43" s="41" t="s">
        <v>69</v>
      </c>
      <c r="G43" s="41" t="s">
        <v>71</v>
      </c>
      <c r="I43" s="41" t="s">
        <v>73</v>
      </c>
      <c r="K43" s="41" t="s">
        <v>241</v>
      </c>
      <c r="M43" s="41" t="s">
        <v>242</v>
      </c>
      <c r="W43" s="2" t="s">
        <v>77</v>
      </c>
      <c r="X43" s="2" t="s">
        <v>82</v>
      </c>
      <c r="Y43" s="2" t="s">
        <v>155</v>
      </c>
    </row>
    <row r="44" spans="5:26" ht="12.75">
      <c r="E44" s="41" t="s">
        <v>74</v>
      </c>
      <c r="G44" s="41" t="s">
        <v>75</v>
      </c>
      <c r="Q44" s="2" t="s">
        <v>191</v>
      </c>
      <c r="R44" s="2" t="s">
        <v>192</v>
      </c>
      <c r="U44" s="2" t="s">
        <v>78</v>
      </c>
      <c r="V44" s="2" t="s">
        <v>79</v>
      </c>
      <c r="W44" s="32">
        <f>MAX(W46:W70)</f>
        <v>0</v>
      </c>
      <c r="X44" s="32">
        <f>IF(P13=2,0,MAX(X46:X70))</f>
        <v>0</v>
      </c>
      <c r="Z44" s="32" t="b">
        <f>IF(AND(Y69,Z68),TRUE,FALSE)</f>
        <v>0</v>
      </c>
    </row>
    <row r="45" spans="5:13" ht="6" customHeight="1" thickBot="1">
      <c r="E45" s="41"/>
      <c r="G45" s="41"/>
      <c r="I45" s="41"/>
      <c r="K45" s="41"/>
      <c r="M45" s="41"/>
    </row>
    <row r="46" spans="1:24" s="44" customFormat="1" ht="15.75" customHeight="1" thickBot="1">
      <c r="A46" s="42"/>
      <c r="B46" s="43" t="s">
        <v>43</v>
      </c>
      <c r="C46" s="42"/>
      <c r="D46" s="42"/>
      <c r="E46" s="42"/>
      <c r="F46" s="42"/>
      <c r="G46" s="68"/>
      <c r="H46" s="42"/>
      <c r="I46" s="42"/>
      <c r="J46" s="42"/>
      <c r="K46" s="33"/>
      <c r="L46" s="42"/>
      <c r="M46" s="33"/>
      <c r="N46" s="42"/>
      <c r="O46" s="42"/>
      <c r="P46" s="72">
        <v>2</v>
      </c>
      <c r="Q46" s="73">
        <f>K46</f>
        <v>0</v>
      </c>
      <c r="R46" s="74">
        <f>M46</f>
        <v>0</v>
      </c>
      <c r="S46" s="74"/>
      <c r="T46" s="74"/>
      <c r="U46" s="74">
        <f>T47</f>
        <v>0</v>
      </c>
      <c r="V46" s="74">
        <f>(30.5+0.25*U46+G46)*$P$5</f>
        <v>49.5625</v>
      </c>
      <c r="W46" s="75" t="str">
        <f>IF(P46=1,0,(IF(Q46=0,"- ",MIN(1,1.5625*(ABS(V46/Q46-0.6)+(V46/Q46-0.6))^2))))</f>
        <v>- </v>
      </c>
      <c r="X46" s="76" t="str">
        <f>IF(R46=0,"- ",MIN(1,1.5625*(ABS(V46/R46-0.6)+(V46/R46-0.6))^2))</f>
        <v>- </v>
      </c>
    </row>
    <row r="47" spans="1:25" s="44" customFormat="1" ht="15.75" customHeight="1" thickBot="1">
      <c r="A47" s="42"/>
      <c r="B47" s="42"/>
      <c r="C47" s="45" t="s">
        <v>56</v>
      </c>
      <c r="D47" s="42"/>
      <c r="E47" s="68"/>
      <c r="F47" s="42"/>
      <c r="G47" s="42"/>
      <c r="H47" s="42"/>
      <c r="I47" s="42"/>
      <c r="J47" s="42"/>
      <c r="K47" s="42"/>
      <c r="L47" s="42"/>
      <c r="M47" s="42"/>
      <c r="N47" s="42"/>
      <c r="O47" s="42"/>
      <c r="Q47" s="77"/>
      <c r="R47" s="78"/>
      <c r="S47" s="78">
        <f>E47</f>
        <v>0</v>
      </c>
      <c r="T47" s="78">
        <f>IF(P48=3,S47,T49)</f>
        <v>0</v>
      </c>
      <c r="U47" s="78"/>
      <c r="V47" s="78"/>
      <c r="W47" s="79"/>
      <c r="X47" s="80"/>
      <c r="Y47" s="44" t="b">
        <f>IF(AND(P42&gt;0,E47=""),FALSE,TRUE)</f>
        <v>0</v>
      </c>
    </row>
    <row r="48" spans="1:26" s="44" customFormat="1" ht="15.75" customHeight="1" thickBot="1">
      <c r="A48" s="42"/>
      <c r="B48" s="43" t="s">
        <v>44</v>
      </c>
      <c r="C48" s="45"/>
      <c r="D48" s="42"/>
      <c r="E48" s="42"/>
      <c r="F48" s="42"/>
      <c r="G48" s="68">
        <v>0</v>
      </c>
      <c r="H48" s="42"/>
      <c r="I48" s="42"/>
      <c r="J48" s="42"/>
      <c r="K48" s="33"/>
      <c r="L48" s="42"/>
      <c r="M48" s="33"/>
      <c r="N48" s="42"/>
      <c r="O48" s="42"/>
      <c r="P48" s="72">
        <v>2</v>
      </c>
      <c r="Q48" s="77">
        <f>K48</f>
        <v>0</v>
      </c>
      <c r="R48" s="78">
        <f>M48</f>
        <v>0</v>
      </c>
      <c r="S48" s="78"/>
      <c r="T48" s="78"/>
      <c r="U48" s="78">
        <f>MAX(T47,T49)</f>
        <v>0</v>
      </c>
      <c r="V48" s="78">
        <f>(30.5+0.25*U48+G48)*$P$5</f>
        <v>49.5625</v>
      </c>
      <c r="W48" s="79" t="str">
        <f>IF(P48=1,0,(IF(Q48=0,"- ",MIN(1,1.5625*(ABS(V48/Q48-0.6)+(V48/Q48-0.6))^2))))</f>
        <v>- </v>
      </c>
      <c r="X48" s="80" t="str">
        <f aca="true" t="shared" si="0" ref="X48:X70">IF(R48=0,"- ",MIN(1,1.5625*(ABS(V48/R48-0.6)+(V48/R48-0.6))^2))</f>
        <v>- </v>
      </c>
      <c r="Z48" s="44" t="b">
        <f>IF(AND(P42&gt;1,G48=""),FALSE,TRUE)</f>
        <v>1</v>
      </c>
    </row>
    <row r="49" spans="1:25" s="44" customFormat="1" ht="15.75" customHeight="1" thickBot="1">
      <c r="A49" s="42"/>
      <c r="B49" s="42"/>
      <c r="C49" s="45" t="s">
        <v>57</v>
      </c>
      <c r="D49" s="42"/>
      <c r="E49" s="68"/>
      <c r="F49" s="42"/>
      <c r="G49" s="42"/>
      <c r="H49" s="42"/>
      <c r="I49" s="42"/>
      <c r="J49" s="42"/>
      <c r="K49" s="42"/>
      <c r="L49" s="42"/>
      <c r="M49" s="42"/>
      <c r="N49" s="42"/>
      <c r="O49" s="42"/>
      <c r="Q49" s="77"/>
      <c r="R49" s="78"/>
      <c r="S49" s="78">
        <f>IF(P48=3,E49,S47+E49)</f>
        <v>0</v>
      </c>
      <c r="T49" s="78">
        <f>IF(P50=3,S49,T51)</f>
        <v>0</v>
      </c>
      <c r="U49" s="78"/>
      <c r="V49" s="78"/>
      <c r="W49" s="79"/>
      <c r="X49" s="80"/>
      <c r="Y49" s="44" t="b">
        <f>IF(OR(Y47=FALSE,AND(P$42&gt;1,E49="")),FALSE,TRUE)</f>
        <v>0</v>
      </c>
    </row>
    <row r="50" spans="1:26" s="44" customFormat="1" ht="15.75" customHeight="1" thickBot="1">
      <c r="A50" s="42"/>
      <c r="B50" s="43" t="s">
        <v>45</v>
      </c>
      <c r="C50" s="45"/>
      <c r="D50" s="42"/>
      <c r="E50" s="42"/>
      <c r="F50" s="42"/>
      <c r="G50" s="68">
        <v>0</v>
      </c>
      <c r="H50" s="42"/>
      <c r="I50" s="42"/>
      <c r="J50" s="42"/>
      <c r="K50" s="33"/>
      <c r="L50" s="42"/>
      <c r="M50" s="33"/>
      <c r="N50" s="42"/>
      <c r="O50" s="42"/>
      <c r="P50" s="72">
        <v>3</v>
      </c>
      <c r="Q50" s="77">
        <f aca="true" t="shared" si="1" ref="Q50:Q68">K50</f>
        <v>0</v>
      </c>
      <c r="R50" s="78">
        <f aca="true" t="shared" si="2" ref="R50:R68">M50</f>
        <v>0</v>
      </c>
      <c r="S50" s="78"/>
      <c r="T50" s="78"/>
      <c r="U50" s="78">
        <f>MAX(T49,T51)</f>
        <v>0</v>
      </c>
      <c r="V50" s="78">
        <f>(30.5+0.25*U50+G50)*$P$5</f>
        <v>49.5625</v>
      </c>
      <c r="W50" s="79" t="str">
        <f>IF(P50=1,0,(IF(Q50=0,"- ",MIN(1,1.5625*(ABS(V50/Q50-0.6)+(V50/Q50-0.6))^2))))</f>
        <v>- </v>
      </c>
      <c r="X50" s="80" t="str">
        <f t="shared" si="0"/>
        <v>- </v>
      </c>
      <c r="Z50" s="44" t="b">
        <f>IF(OR(Z48=FALSE,AND(P$42&gt;2,G50="")),FALSE,TRUE)</f>
        <v>1</v>
      </c>
    </row>
    <row r="51" spans="1:25" s="44" customFormat="1" ht="15.75" customHeight="1" hidden="1" thickBot="1">
      <c r="A51" s="42"/>
      <c r="B51" s="42"/>
      <c r="C51" s="45" t="s">
        <v>58</v>
      </c>
      <c r="D51" s="42"/>
      <c r="E51" s="68"/>
      <c r="F51" s="42"/>
      <c r="G51" s="42"/>
      <c r="H51" s="42"/>
      <c r="I51" s="42"/>
      <c r="J51" s="42"/>
      <c r="K51" s="42"/>
      <c r="L51" s="42"/>
      <c r="M51" s="42"/>
      <c r="N51" s="42"/>
      <c r="O51" s="42"/>
      <c r="Q51" s="77"/>
      <c r="R51" s="78"/>
      <c r="S51" s="78">
        <f>IF(P50=3,E51,S49+E51)</f>
        <v>0</v>
      </c>
      <c r="T51" s="78">
        <f>IF(P52=3,S51,T53)</f>
        <v>0</v>
      </c>
      <c r="U51" s="78"/>
      <c r="V51" s="78"/>
      <c r="W51" s="79"/>
      <c r="X51" s="80"/>
      <c r="Y51" s="44" t="b">
        <f>IF(OR(Y49=FALSE,AND(P$42&gt;2,E51="")),FALSE,TRUE)</f>
        <v>0</v>
      </c>
    </row>
    <row r="52" spans="1:26" s="44" customFormat="1" ht="15.75" customHeight="1" hidden="1" thickBot="1">
      <c r="A52" s="42"/>
      <c r="B52" s="43" t="s">
        <v>46</v>
      </c>
      <c r="C52" s="45"/>
      <c r="D52" s="42"/>
      <c r="E52" s="42"/>
      <c r="F52" s="42"/>
      <c r="G52" s="68"/>
      <c r="H52" s="42"/>
      <c r="I52" s="42"/>
      <c r="J52" s="42"/>
      <c r="K52" s="33"/>
      <c r="L52" s="42"/>
      <c r="M52" s="33"/>
      <c r="N52" s="42"/>
      <c r="O52" s="42"/>
      <c r="P52" s="72">
        <v>1</v>
      </c>
      <c r="Q52" s="77">
        <f t="shared" si="1"/>
        <v>0</v>
      </c>
      <c r="R52" s="78">
        <f t="shared" si="2"/>
        <v>0</v>
      </c>
      <c r="S52" s="78"/>
      <c r="T52" s="78"/>
      <c r="U52" s="78">
        <f>MAX(T51,T53)</f>
        <v>0</v>
      </c>
      <c r="V52" s="78">
        <f>(30.5+0.25*U52+G52)*$P$5</f>
        <v>49.5625</v>
      </c>
      <c r="W52" s="79">
        <f>IF(P52=1,0,(IF(Q52=0,"- ",MIN(1,1.5625*(ABS(V52/Q52-0.6)+(V52/Q52-0.6))^2))))</f>
        <v>0</v>
      </c>
      <c r="X52" s="80" t="str">
        <f t="shared" si="0"/>
        <v>- </v>
      </c>
      <c r="Z52" s="44" t="b">
        <f>IF(OR(Z50=FALSE,AND(P$42&gt;3,G52="")),FALSE,TRUE)</f>
        <v>1</v>
      </c>
    </row>
    <row r="53" spans="1:25" s="44" customFormat="1" ht="15.75" customHeight="1" hidden="1" thickBot="1">
      <c r="A53" s="42"/>
      <c r="B53" s="42"/>
      <c r="C53" s="45" t="s">
        <v>59</v>
      </c>
      <c r="D53" s="42"/>
      <c r="E53" s="68"/>
      <c r="F53" s="42"/>
      <c r="G53" s="42"/>
      <c r="H53" s="42"/>
      <c r="I53" s="42"/>
      <c r="J53" s="42"/>
      <c r="K53" s="42"/>
      <c r="L53" s="42"/>
      <c r="M53" s="42"/>
      <c r="N53" s="42"/>
      <c r="O53" s="42"/>
      <c r="Q53" s="77"/>
      <c r="R53" s="78"/>
      <c r="S53" s="78">
        <f>IF(P52=3,E53,S51+E53)</f>
        <v>0</v>
      </c>
      <c r="T53" s="78">
        <f>IF(P54=3,S53,T55)</f>
        <v>0</v>
      </c>
      <c r="U53" s="78"/>
      <c r="V53" s="78"/>
      <c r="W53" s="79"/>
      <c r="X53" s="80"/>
      <c r="Y53" s="44" t="b">
        <f>IF(OR(Y51=FALSE,AND(P$42&gt;3,E53="")),FALSE,TRUE)</f>
        <v>0</v>
      </c>
    </row>
    <row r="54" spans="1:26" s="44" customFormat="1" ht="15.75" customHeight="1" hidden="1" thickBot="1">
      <c r="A54" s="42"/>
      <c r="B54" s="43" t="s">
        <v>47</v>
      </c>
      <c r="C54" s="45"/>
      <c r="D54" s="42"/>
      <c r="E54" s="42"/>
      <c r="F54" s="42"/>
      <c r="G54" s="68"/>
      <c r="H54" s="42"/>
      <c r="I54" s="42"/>
      <c r="J54" s="42"/>
      <c r="K54" s="33"/>
      <c r="L54" s="42"/>
      <c r="M54" s="33"/>
      <c r="N54" s="42"/>
      <c r="O54" s="42"/>
      <c r="P54" s="72">
        <v>1</v>
      </c>
      <c r="Q54" s="77">
        <f t="shared" si="1"/>
        <v>0</v>
      </c>
      <c r="R54" s="78">
        <f t="shared" si="2"/>
        <v>0</v>
      </c>
      <c r="S54" s="78"/>
      <c r="T54" s="78"/>
      <c r="U54" s="78">
        <f>MAX(T53,T55)</f>
        <v>0</v>
      </c>
      <c r="V54" s="78">
        <f>(30.5+0.25*U54+G54)*$P$5</f>
        <v>49.5625</v>
      </c>
      <c r="W54" s="79">
        <f>IF(P54=1,0,(IF(Q54=0,"- ",MIN(1,1.5625*(ABS(V54/Q54-0.6)+(V54/Q54-0.6))^2))))</f>
        <v>0</v>
      </c>
      <c r="X54" s="80" t="str">
        <f t="shared" si="0"/>
        <v>- </v>
      </c>
      <c r="Z54" s="44" t="b">
        <f>IF(OR(Z52=FALSE,AND(P$42&gt;4,G54="")),FALSE,TRUE)</f>
        <v>1</v>
      </c>
    </row>
    <row r="55" spans="1:25" s="44" customFormat="1" ht="15.75" customHeight="1" hidden="1" thickBot="1">
      <c r="A55" s="42"/>
      <c r="B55" s="42"/>
      <c r="C55" s="45" t="s">
        <v>60</v>
      </c>
      <c r="D55" s="42"/>
      <c r="E55" s="68"/>
      <c r="F55" s="42"/>
      <c r="G55" s="42"/>
      <c r="H55" s="42"/>
      <c r="I55" s="42"/>
      <c r="J55" s="42"/>
      <c r="K55" s="42"/>
      <c r="L55" s="42"/>
      <c r="M55" s="42"/>
      <c r="N55" s="42"/>
      <c r="O55" s="42"/>
      <c r="Q55" s="77"/>
      <c r="R55" s="78"/>
      <c r="S55" s="78">
        <f>IF(P54=3,E55,S53+E55)</f>
        <v>0</v>
      </c>
      <c r="T55" s="78">
        <f>IF(P56=3,S55,T57)</f>
        <v>0</v>
      </c>
      <c r="U55" s="78"/>
      <c r="V55" s="78"/>
      <c r="W55" s="79"/>
      <c r="X55" s="80"/>
      <c r="Y55" s="44" t="b">
        <f>IF(OR(Y53=FALSE,AND(P$42&gt;4,E55="")),FALSE,TRUE)</f>
        <v>0</v>
      </c>
    </row>
    <row r="56" spans="1:26" s="44" customFormat="1" ht="15.75" customHeight="1" hidden="1" thickBot="1">
      <c r="A56" s="42"/>
      <c r="B56" s="43" t="s">
        <v>48</v>
      </c>
      <c r="C56" s="45"/>
      <c r="D56" s="42"/>
      <c r="E56" s="42"/>
      <c r="F56" s="42"/>
      <c r="G56" s="68"/>
      <c r="H56" s="42"/>
      <c r="I56" s="42"/>
      <c r="J56" s="42"/>
      <c r="K56" s="33"/>
      <c r="L56" s="42"/>
      <c r="M56" s="33"/>
      <c r="N56" s="42"/>
      <c r="O56" s="42"/>
      <c r="P56" s="72">
        <v>2</v>
      </c>
      <c r="Q56" s="77">
        <f t="shared" si="1"/>
        <v>0</v>
      </c>
      <c r="R56" s="78">
        <f t="shared" si="2"/>
        <v>0</v>
      </c>
      <c r="S56" s="78"/>
      <c r="T56" s="78"/>
      <c r="U56" s="78">
        <f>MAX(T55,T57)</f>
        <v>0</v>
      </c>
      <c r="V56" s="78">
        <f>(30.5+0.25*U56+G56)*$P$5</f>
        <v>49.5625</v>
      </c>
      <c r="W56" s="79" t="str">
        <f>IF(P56=1,0,(IF(Q56=0,"- ",MIN(1,1.5625*(ABS(V56/Q56-0.6)+(V56/Q56-0.6))^2))))</f>
        <v>- </v>
      </c>
      <c r="X56" s="80" t="str">
        <f t="shared" si="0"/>
        <v>- </v>
      </c>
      <c r="Z56" s="44" t="b">
        <f>IF(OR(Z54=FALSE,AND(P$42&gt;5,G56="")),FALSE,TRUE)</f>
        <v>1</v>
      </c>
    </row>
    <row r="57" spans="1:25" s="44" customFormat="1" ht="15.75" customHeight="1" hidden="1" thickBot="1">
      <c r="A57" s="42"/>
      <c r="B57" s="42"/>
      <c r="C57" s="45" t="s">
        <v>61</v>
      </c>
      <c r="D57" s="42"/>
      <c r="E57" s="68"/>
      <c r="F57" s="42"/>
      <c r="G57" s="42"/>
      <c r="H57" s="42"/>
      <c r="I57" s="42"/>
      <c r="J57" s="42"/>
      <c r="K57" s="42"/>
      <c r="L57" s="42"/>
      <c r="M57" s="42"/>
      <c r="N57" s="42"/>
      <c r="O57" s="42"/>
      <c r="Q57" s="77"/>
      <c r="R57" s="78"/>
      <c r="S57" s="78">
        <f>IF(P56=3,E57,S55+E57)</f>
        <v>0</v>
      </c>
      <c r="T57" s="78">
        <f>IF(P58=3,S57,T59)</f>
        <v>0</v>
      </c>
      <c r="U57" s="78"/>
      <c r="V57" s="78"/>
      <c r="W57" s="79"/>
      <c r="X57" s="80"/>
      <c r="Y57" s="44" t="b">
        <f>IF(OR(Y55=FALSE,AND(P$42&gt;5,E57="")),FALSE,TRUE)</f>
        <v>0</v>
      </c>
    </row>
    <row r="58" spans="1:26" s="44" customFormat="1" ht="15.75" customHeight="1" hidden="1" thickBot="1">
      <c r="A58" s="42"/>
      <c r="B58" s="43" t="s">
        <v>49</v>
      </c>
      <c r="C58" s="45"/>
      <c r="D58" s="42"/>
      <c r="E58" s="42"/>
      <c r="F58" s="42"/>
      <c r="G58" s="68"/>
      <c r="H58" s="42"/>
      <c r="I58" s="42"/>
      <c r="J58" s="42"/>
      <c r="K58" s="33"/>
      <c r="L58" s="42"/>
      <c r="M58" s="33"/>
      <c r="N58" s="42"/>
      <c r="O58" s="42"/>
      <c r="P58" s="72">
        <v>2</v>
      </c>
      <c r="Q58" s="77">
        <f t="shared" si="1"/>
        <v>0</v>
      </c>
      <c r="R58" s="78">
        <f t="shared" si="2"/>
        <v>0</v>
      </c>
      <c r="S58" s="78"/>
      <c r="T58" s="78"/>
      <c r="U58" s="78">
        <f>MAX(T57,T59)</f>
        <v>0</v>
      </c>
      <c r="V58" s="78">
        <f>(30.5+0.25*U58+G58)*$P$5</f>
        <v>49.5625</v>
      </c>
      <c r="W58" s="79" t="str">
        <f>IF(P58=1,0,(IF(Q58=0,"- ",MIN(1,1.5625*(ABS(V58/Q58-0.6)+(V58/Q58-0.6))^2))))</f>
        <v>- </v>
      </c>
      <c r="X58" s="80" t="str">
        <f t="shared" si="0"/>
        <v>- </v>
      </c>
      <c r="Z58" s="44" t="b">
        <f>IF(OR(Z56=FALSE,AND(P$42&gt;6,G58="")),FALSE,TRUE)</f>
        <v>1</v>
      </c>
    </row>
    <row r="59" spans="1:25" s="44" customFormat="1" ht="15.75" customHeight="1" hidden="1" thickBot="1">
      <c r="A59" s="42"/>
      <c r="B59" s="42"/>
      <c r="C59" s="45" t="s">
        <v>62</v>
      </c>
      <c r="D59" s="42"/>
      <c r="E59" s="68"/>
      <c r="F59" s="42"/>
      <c r="G59" s="42"/>
      <c r="H59" s="42"/>
      <c r="I59" s="42"/>
      <c r="J59" s="42"/>
      <c r="K59" s="42"/>
      <c r="L59" s="42"/>
      <c r="M59" s="42"/>
      <c r="N59" s="42"/>
      <c r="O59" s="42"/>
      <c r="Q59" s="77"/>
      <c r="R59" s="78"/>
      <c r="S59" s="78">
        <f>IF(P58=3,E59,S57+E59)</f>
        <v>0</v>
      </c>
      <c r="T59" s="78">
        <f>IF(P60=3,S59,T61)</f>
        <v>0</v>
      </c>
      <c r="U59" s="78"/>
      <c r="V59" s="78"/>
      <c r="W59" s="79"/>
      <c r="X59" s="80"/>
      <c r="Y59" s="44" t="b">
        <f>IF(OR(Y57=FALSE,AND(P$42&gt;6,E59="")),FALSE,TRUE)</f>
        <v>0</v>
      </c>
    </row>
    <row r="60" spans="1:26" s="44" customFormat="1" ht="15.75" customHeight="1" hidden="1" thickBot="1">
      <c r="A60" s="42"/>
      <c r="B60" s="43" t="s">
        <v>50</v>
      </c>
      <c r="C60" s="45"/>
      <c r="D60" s="42"/>
      <c r="E60" s="42"/>
      <c r="F60" s="42"/>
      <c r="G60" s="68"/>
      <c r="H60" s="42"/>
      <c r="I60" s="42"/>
      <c r="J60" s="42"/>
      <c r="K60" s="33"/>
      <c r="L60" s="42"/>
      <c r="M60" s="33"/>
      <c r="N60" s="42"/>
      <c r="O60" s="42"/>
      <c r="P60" s="72">
        <v>1</v>
      </c>
      <c r="Q60" s="77">
        <f t="shared" si="1"/>
        <v>0</v>
      </c>
      <c r="R60" s="78">
        <f t="shared" si="2"/>
        <v>0</v>
      </c>
      <c r="S60" s="78"/>
      <c r="T60" s="78"/>
      <c r="U60" s="78">
        <f>MAX(T59,T61)</f>
        <v>0</v>
      </c>
      <c r="V60" s="78">
        <f>(30.5+0.25*U60+G60)*$P$5</f>
        <v>49.5625</v>
      </c>
      <c r="W60" s="79">
        <f>IF(P60=1,0,(IF(Q60=0,"- ",MIN(1,1.5625*(ABS(V60/Q60-0.6)+(V60/Q60-0.6))^2))))</f>
        <v>0</v>
      </c>
      <c r="X60" s="80" t="str">
        <f t="shared" si="0"/>
        <v>- </v>
      </c>
      <c r="Z60" s="44" t="b">
        <f>IF(OR(Z58=FALSE,AND(P$42&gt;7,G60="")),FALSE,TRUE)</f>
        <v>1</v>
      </c>
    </row>
    <row r="61" spans="1:25" s="44" customFormat="1" ht="15.75" customHeight="1" hidden="1" thickBot="1">
      <c r="A61" s="42"/>
      <c r="B61" s="42"/>
      <c r="C61" s="45" t="s">
        <v>63</v>
      </c>
      <c r="D61" s="42"/>
      <c r="E61" s="68"/>
      <c r="F61" s="42"/>
      <c r="G61" s="42"/>
      <c r="H61" s="42"/>
      <c r="I61" s="42"/>
      <c r="J61" s="42"/>
      <c r="K61" s="42"/>
      <c r="L61" s="42"/>
      <c r="M61" s="42"/>
      <c r="N61" s="42"/>
      <c r="O61" s="42"/>
      <c r="Q61" s="77"/>
      <c r="R61" s="78"/>
      <c r="S61" s="78">
        <f>IF(P60=3,E61,S59+E61)</f>
        <v>0</v>
      </c>
      <c r="T61" s="78">
        <f>IF(P62=3,S61,T63)</f>
        <v>0</v>
      </c>
      <c r="U61" s="78"/>
      <c r="V61" s="78"/>
      <c r="W61" s="79"/>
      <c r="X61" s="80"/>
      <c r="Y61" s="44" t="b">
        <f>IF(OR(Y59=FALSE,AND(P$42&gt;7,E61="")),FALSE,TRUE)</f>
        <v>0</v>
      </c>
    </row>
    <row r="62" spans="1:26" s="44" customFormat="1" ht="15.75" customHeight="1" hidden="1" thickBot="1">
      <c r="A62" s="42"/>
      <c r="B62" s="43" t="s">
        <v>51</v>
      </c>
      <c r="C62" s="45"/>
      <c r="D62" s="42"/>
      <c r="E62" s="42"/>
      <c r="F62" s="42"/>
      <c r="G62" s="68"/>
      <c r="H62" s="42"/>
      <c r="I62" s="42"/>
      <c r="J62" s="42"/>
      <c r="K62" s="33"/>
      <c r="L62" s="42"/>
      <c r="M62" s="33"/>
      <c r="N62" s="42"/>
      <c r="O62" s="42"/>
      <c r="P62" s="72">
        <v>3</v>
      </c>
      <c r="Q62" s="77">
        <f t="shared" si="1"/>
        <v>0</v>
      </c>
      <c r="R62" s="78">
        <f t="shared" si="2"/>
        <v>0</v>
      </c>
      <c r="S62" s="78"/>
      <c r="T62" s="78"/>
      <c r="U62" s="78">
        <f>MAX(T61,T63)</f>
        <v>0</v>
      </c>
      <c r="V62" s="78">
        <f>(30.5+0.25*U62+G62)*$P$5</f>
        <v>49.5625</v>
      </c>
      <c r="W62" s="79" t="str">
        <f>IF(P62=1,0,(IF(Q62=0,"- ",MIN(1,1.5625*(ABS(V62/Q62-0.6)+(V62/Q62-0.6))^2))))</f>
        <v>- </v>
      </c>
      <c r="X62" s="80" t="str">
        <f t="shared" si="0"/>
        <v>- </v>
      </c>
      <c r="Z62" s="44" t="b">
        <f>IF(OR(Z60=FALSE,AND(P$42&gt;8,G62="")),FALSE,TRUE)</f>
        <v>1</v>
      </c>
    </row>
    <row r="63" spans="1:25" s="44" customFormat="1" ht="15.75" customHeight="1" hidden="1" thickBot="1">
      <c r="A63" s="42"/>
      <c r="B63" s="46"/>
      <c r="C63" s="45" t="s">
        <v>64</v>
      </c>
      <c r="D63" s="42"/>
      <c r="E63" s="68"/>
      <c r="F63" s="42"/>
      <c r="G63" s="42"/>
      <c r="H63" s="42"/>
      <c r="I63" s="42"/>
      <c r="J63" s="42"/>
      <c r="K63" s="42"/>
      <c r="L63" s="42"/>
      <c r="M63" s="42"/>
      <c r="N63" s="42"/>
      <c r="O63" s="42"/>
      <c r="Q63" s="77"/>
      <c r="R63" s="78"/>
      <c r="S63" s="78">
        <f>IF(P62=3,E63,S61+E63)</f>
        <v>0</v>
      </c>
      <c r="T63" s="78">
        <f>IF(P64=3,S63,T65)</f>
        <v>0</v>
      </c>
      <c r="U63" s="78"/>
      <c r="V63" s="78"/>
      <c r="W63" s="79"/>
      <c r="X63" s="80"/>
      <c r="Y63" s="44" t="b">
        <f>IF(OR(Y61=FALSE,AND(P$42&gt;8,E63="")),FALSE,TRUE)</f>
        <v>0</v>
      </c>
    </row>
    <row r="64" spans="1:26" s="44" customFormat="1" ht="15.75" customHeight="1" hidden="1" thickBot="1">
      <c r="A64" s="42"/>
      <c r="B64" s="43" t="s">
        <v>52</v>
      </c>
      <c r="C64" s="45"/>
      <c r="D64" s="42"/>
      <c r="E64" s="42"/>
      <c r="F64" s="42"/>
      <c r="G64" s="68"/>
      <c r="H64" s="42"/>
      <c r="I64" s="42"/>
      <c r="J64" s="42"/>
      <c r="K64" s="33"/>
      <c r="L64" s="42"/>
      <c r="M64" s="33"/>
      <c r="N64" s="42"/>
      <c r="O64" s="42"/>
      <c r="P64" s="72">
        <v>3</v>
      </c>
      <c r="Q64" s="77">
        <f t="shared" si="1"/>
        <v>0</v>
      </c>
      <c r="R64" s="78">
        <f t="shared" si="2"/>
        <v>0</v>
      </c>
      <c r="S64" s="78"/>
      <c r="T64" s="78"/>
      <c r="U64" s="78">
        <f>MAX(T63,T65)</f>
        <v>0</v>
      </c>
      <c r="V64" s="78">
        <f>(30.5+0.25*U64+G64)*$P$5</f>
        <v>49.5625</v>
      </c>
      <c r="W64" s="79" t="str">
        <f>IF(P64=1,0,(IF(Q64=0,"- ",MIN(1,1.5625*(ABS(V64/Q64-0.6)+(V64/Q64-0.6))^2))))</f>
        <v>- </v>
      </c>
      <c r="X64" s="80" t="str">
        <f t="shared" si="0"/>
        <v>- </v>
      </c>
      <c r="Z64" s="44" t="b">
        <f>IF(OR(Z62=FALSE,AND(P$42&gt;9,G64="")),FALSE,TRUE)</f>
        <v>1</v>
      </c>
    </row>
    <row r="65" spans="1:25" s="44" customFormat="1" ht="17.25" customHeight="1" hidden="1" thickBot="1">
      <c r="A65" s="42"/>
      <c r="B65" s="42"/>
      <c r="C65" s="45" t="s">
        <v>65</v>
      </c>
      <c r="D65" s="42"/>
      <c r="E65" s="68"/>
      <c r="F65" s="42"/>
      <c r="G65" s="42"/>
      <c r="H65" s="42"/>
      <c r="I65" s="42"/>
      <c r="J65" s="42"/>
      <c r="K65" s="42"/>
      <c r="L65" s="42"/>
      <c r="M65" s="42"/>
      <c r="N65" s="42"/>
      <c r="O65" s="42"/>
      <c r="Q65" s="77"/>
      <c r="R65" s="78"/>
      <c r="S65" s="78">
        <f>IF(P64=3,E65,S63+E65)</f>
        <v>0</v>
      </c>
      <c r="T65" s="78">
        <f>IF(P66=3,S65,T67)</f>
        <v>0</v>
      </c>
      <c r="U65" s="78"/>
      <c r="V65" s="78"/>
      <c r="W65" s="79"/>
      <c r="X65" s="80"/>
      <c r="Y65" s="44" t="b">
        <f>IF(OR(Y63=FALSE,AND(P$42&gt;9,E65="")),FALSE,TRUE)</f>
        <v>0</v>
      </c>
    </row>
    <row r="66" spans="1:26" s="44" customFormat="1" ht="15.75" customHeight="1" hidden="1" thickBot="1">
      <c r="A66" s="42"/>
      <c r="B66" s="43" t="s">
        <v>53</v>
      </c>
      <c r="C66" s="45"/>
      <c r="D66" s="42"/>
      <c r="E66" s="42"/>
      <c r="F66" s="42"/>
      <c r="G66" s="68"/>
      <c r="H66" s="42"/>
      <c r="I66" s="42"/>
      <c r="J66" s="42"/>
      <c r="K66" s="33"/>
      <c r="L66" s="42"/>
      <c r="M66" s="33"/>
      <c r="N66" s="42"/>
      <c r="O66" s="42"/>
      <c r="P66" s="72">
        <v>1</v>
      </c>
      <c r="Q66" s="77">
        <f t="shared" si="1"/>
        <v>0</v>
      </c>
      <c r="R66" s="78">
        <f t="shared" si="2"/>
        <v>0</v>
      </c>
      <c r="S66" s="78"/>
      <c r="T66" s="78"/>
      <c r="U66" s="78">
        <f>MAX(T65,T67)</f>
        <v>0</v>
      </c>
      <c r="V66" s="78">
        <f>(30.5+0.25*U66+G66)*$P$5</f>
        <v>49.5625</v>
      </c>
      <c r="W66" s="79">
        <f>IF(P66=1,0,(IF(Q66=0,"- ",MIN(1,1.5625*(ABS(V66/Q66-0.6)+(V66/Q66-0.6))^2))))</f>
        <v>0</v>
      </c>
      <c r="X66" s="80" t="str">
        <f t="shared" si="0"/>
        <v>- </v>
      </c>
      <c r="Z66" s="44" t="b">
        <f>IF(OR(Z64=FALSE,AND(P$42&gt;10,G66="")),FALSE,TRUE)</f>
        <v>1</v>
      </c>
    </row>
    <row r="67" spans="1:25" s="44" customFormat="1" ht="15.75" customHeight="1" hidden="1" thickBot="1">
      <c r="A67" s="42"/>
      <c r="B67" s="42"/>
      <c r="C67" s="45" t="s">
        <v>66</v>
      </c>
      <c r="D67" s="42"/>
      <c r="E67" s="68"/>
      <c r="F67" s="42"/>
      <c r="G67" s="42"/>
      <c r="H67" s="42"/>
      <c r="I67" s="42"/>
      <c r="J67" s="42"/>
      <c r="K67" s="42"/>
      <c r="L67" s="42"/>
      <c r="M67" s="42"/>
      <c r="N67" s="42"/>
      <c r="O67" s="42"/>
      <c r="Q67" s="77"/>
      <c r="R67" s="78"/>
      <c r="S67" s="78">
        <f>IF(P66=3,E67,S65+E67)</f>
        <v>0</v>
      </c>
      <c r="T67" s="78">
        <f>IF(P68=3,S67,T69)</f>
        <v>0</v>
      </c>
      <c r="U67" s="78"/>
      <c r="V67" s="78"/>
      <c r="W67" s="79"/>
      <c r="X67" s="80"/>
      <c r="Y67" s="44" t="b">
        <f>IF(OR(Y65=FALSE,AND(P$42&gt;10,E67="")),FALSE,TRUE)</f>
        <v>0</v>
      </c>
    </row>
    <row r="68" spans="1:26" s="44" customFormat="1" ht="15.75" customHeight="1" hidden="1" thickBot="1">
      <c r="A68" s="42"/>
      <c r="B68" s="43" t="s">
        <v>54</v>
      </c>
      <c r="C68" s="45"/>
      <c r="D68" s="42"/>
      <c r="E68" s="42"/>
      <c r="F68" s="42"/>
      <c r="G68" s="68"/>
      <c r="H68" s="42"/>
      <c r="I68" s="42"/>
      <c r="J68" s="42"/>
      <c r="K68" s="33"/>
      <c r="L68" s="42"/>
      <c r="M68" s="33"/>
      <c r="N68" s="42"/>
      <c r="O68" s="42"/>
      <c r="P68" s="72">
        <v>1</v>
      </c>
      <c r="Q68" s="77">
        <f t="shared" si="1"/>
        <v>0</v>
      </c>
      <c r="R68" s="78">
        <f t="shared" si="2"/>
        <v>0</v>
      </c>
      <c r="S68" s="78"/>
      <c r="T68" s="78"/>
      <c r="U68" s="78">
        <f>MAX(T67,T69)</f>
        <v>0</v>
      </c>
      <c r="V68" s="78">
        <f>(30.5+0.25*U68+G68)*$P$5</f>
        <v>49.5625</v>
      </c>
      <c r="W68" s="79">
        <f>IF(P68=1,0,(IF(Q68=0,"- ",MIN(1,1.5625*(ABS(V68/Q68-0.6)+(V68/Q68-0.6))^2))))</f>
        <v>0</v>
      </c>
      <c r="X68" s="80" t="str">
        <f t="shared" si="0"/>
        <v>- </v>
      </c>
      <c r="Z68" s="44" t="b">
        <f>IF(OR(Z66=FALSE,AND(P$42&gt;11,G68="")),FALSE,TRUE)</f>
        <v>1</v>
      </c>
    </row>
    <row r="69" spans="1:25" s="44" customFormat="1" ht="15.75" customHeight="1" hidden="1" thickBot="1">
      <c r="A69" s="42"/>
      <c r="B69" s="46"/>
      <c r="C69" s="45" t="s">
        <v>67</v>
      </c>
      <c r="D69" s="42"/>
      <c r="E69" s="68"/>
      <c r="F69" s="42"/>
      <c r="G69" s="42"/>
      <c r="H69" s="42"/>
      <c r="I69" s="42"/>
      <c r="J69" s="42"/>
      <c r="K69" s="42"/>
      <c r="L69" s="42"/>
      <c r="M69" s="42"/>
      <c r="N69" s="42"/>
      <c r="O69" s="42"/>
      <c r="Q69" s="77"/>
      <c r="R69" s="78"/>
      <c r="S69" s="78">
        <f>IF(P68=3,E69,S67+E69)</f>
        <v>0</v>
      </c>
      <c r="T69" s="78">
        <f>S69</f>
        <v>0</v>
      </c>
      <c r="U69" s="78"/>
      <c r="V69" s="78"/>
      <c r="W69" s="79"/>
      <c r="X69" s="80"/>
      <c r="Y69" s="44" t="b">
        <f>IF(OR(Y67=FALSE,AND(P$42&gt;11,E69="")),FALSE,TRUE)</f>
        <v>0</v>
      </c>
    </row>
    <row r="70" spans="1:24" s="44" customFormat="1" ht="15.75" customHeight="1" hidden="1" thickBot="1">
      <c r="A70" s="42"/>
      <c r="B70" s="43" t="s">
        <v>55</v>
      </c>
      <c r="C70" s="42"/>
      <c r="D70" s="42"/>
      <c r="E70" s="42"/>
      <c r="F70" s="42"/>
      <c r="G70" s="33">
        <v>0</v>
      </c>
      <c r="H70" s="42"/>
      <c r="I70" s="42"/>
      <c r="J70" s="42"/>
      <c r="K70" s="33"/>
      <c r="L70" s="42"/>
      <c r="M70" s="33"/>
      <c r="N70" s="42"/>
      <c r="O70" s="42"/>
      <c r="P70" s="72">
        <v>1</v>
      </c>
      <c r="Q70" s="81">
        <f>K70</f>
        <v>0</v>
      </c>
      <c r="R70" s="82">
        <f>M70</f>
        <v>0</v>
      </c>
      <c r="S70" s="82"/>
      <c r="T70" s="82"/>
      <c r="U70" s="82">
        <f>T69</f>
        <v>0</v>
      </c>
      <c r="V70" s="82">
        <f>(30.5+0.25*U70+G70)*$P$5</f>
        <v>49.5625</v>
      </c>
      <c r="W70" s="83">
        <f>IF(P70=1,0,(IF(Q70=0,"- ",MIN(1,1.5625*(ABS(V70/Q70-0.6)+(V70/Q70-0.6))^2))))</f>
        <v>0</v>
      </c>
      <c r="X70" s="84" t="str">
        <f t="shared" si="0"/>
        <v>- </v>
      </c>
    </row>
    <row r="71" spans="1:15" s="44" customFormat="1" ht="12.75" hidden="1">
      <c r="A71" s="42"/>
      <c r="B71" s="42"/>
      <c r="C71" s="42"/>
      <c r="D71" s="42"/>
      <c r="E71" s="42"/>
      <c r="F71" s="42"/>
      <c r="G71" s="42"/>
      <c r="H71" s="42"/>
      <c r="I71" s="42"/>
      <c r="J71" s="42"/>
      <c r="K71" s="42"/>
      <c r="L71" s="42"/>
      <c r="M71" s="42"/>
      <c r="N71" s="42"/>
      <c r="O71" s="42"/>
    </row>
    <row r="72" ht="12.75">
      <c r="Z72" s="44"/>
    </row>
    <row r="80" spans="1:14" ht="12.75">
      <c r="A80" s="37" t="s">
        <v>80</v>
      </c>
      <c r="B80" s="41">
        <v>0</v>
      </c>
      <c r="C80" s="41">
        <v>1</v>
      </c>
      <c r="D80" s="41">
        <f>IF(Résumé!$F$25&gt;=2,2,"")</f>
        <v>2</v>
      </c>
      <c r="E80" s="41">
        <f>IF(Résumé!$F$25&gt;=3,3,"")</f>
      </c>
      <c r="F80" s="41">
        <f>IF(Résumé!$F$25&gt;=4,4,"")</f>
      </c>
      <c r="G80" s="41">
        <f>IF(Résumé!$F$25&gt;=5,5,"")</f>
      </c>
      <c r="H80" s="41">
        <f>IF(Résumé!$F$25&gt;=6,6,"")</f>
      </c>
      <c r="I80" s="41">
        <f>IF(Résumé!$F$25&gt;=7,7,"")</f>
      </c>
      <c r="J80" s="41">
        <f>IF(Résumé!$F$25&gt;=8,8,"")</f>
      </c>
      <c r="K80" s="41">
        <f>IF(Résumé!$F$25&gt;=9,9,"")</f>
      </c>
      <c r="L80" s="41">
        <f>IF(Résumé!$F$25&gt;=10,10,"")</f>
      </c>
      <c r="M80" s="41">
        <f>IF(Résumé!$F$25&gt;=11,11,"")</f>
      </c>
      <c r="N80" s="41">
        <f>IF(Résumé!$F$25&gt;=12,12,"")</f>
      </c>
    </row>
    <row r="81" ht="6" customHeight="1"/>
    <row r="82" spans="1:14" ht="12.75">
      <c r="A82" s="47" t="s">
        <v>191</v>
      </c>
      <c r="B82" s="48" t="str">
        <f>IF($K$46="","-",$Q$46)</f>
        <v>-</v>
      </c>
      <c r="C82" s="48" t="str">
        <f>IF($K$48="","-",$Q$48)</f>
        <v>-</v>
      </c>
      <c r="D82" s="48" t="str">
        <f>IF(Résumé!$F$25&lt;2,"",(IF($K$50="","-",$Q$50)))</f>
        <v>-</v>
      </c>
      <c r="E82" s="48">
        <f>IF(Résumé!$F$25&lt;3,"",(IF($K$52="","-",$Q$52)))</f>
      </c>
      <c r="F82" s="48">
        <f>IF(Résumé!$F$25&lt;4,"",(IF($K$54="","-",$Q$54)))</f>
      </c>
      <c r="G82" s="48">
        <f>IF(Résumé!$F$25&lt;5,"",(IF($K$56="","-",$Q$56)))</f>
      </c>
      <c r="H82" s="48">
        <f>IF(Résumé!$F$25&lt;6,"",(IF($K$58="","-",$Q$58)))</f>
      </c>
      <c r="I82" s="48">
        <f>IF(Résumé!$F$25&lt;7,"",(IF($K$60="","-",$Q$60)))</f>
      </c>
      <c r="J82" s="48">
        <f>IF(Résumé!$F$25&lt;8,"",(IF($K$62="","-",$Q$62)))</f>
      </c>
      <c r="K82" s="48">
        <f>IF(Résumé!$F$25&lt;9,"",(IF($K$64="","-",$Q$64)))</f>
      </c>
      <c r="L82" s="48">
        <f>IF(Résumé!$F$25&lt;10,"",(IF($K$66="","-",$Q$66)))</f>
      </c>
      <c r="M82" s="48">
        <f>IF(Résumé!$F$25&lt;11,"",(IF($K$68="","-",$Q$68)))</f>
      </c>
      <c r="N82" s="48">
        <f>IF(Résumé!$F$25&lt;12,"",(IF($K$70="","-",$Q$70)))</f>
      </c>
    </row>
    <row r="83" spans="1:14" ht="12.75">
      <c r="A83" s="47" t="s">
        <v>243</v>
      </c>
      <c r="B83" s="48" t="str">
        <f>IF($M$46="","-",$R$46)</f>
        <v>-</v>
      </c>
      <c r="C83" s="48" t="str">
        <f>IF($M$48="","-",$R$48)</f>
        <v>-</v>
      </c>
      <c r="D83" s="48" t="str">
        <f>IF(Résumé!$F$25&lt;2,"",(IF($M$50="","-",$R$50)))</f>
        <v>-</v>
      </c>
      <c r="E83" s="48">
        <f>IF(Résumé!$F$25&lt;3,"",(IF($M$52="","-",$R$52)))</f>
      </c>
      <c r="F83" s="48">
        <f>IF(Résumé!$F$25&lt;4,"",(IF($M$54="","-",$R$54)))</f>
      </c>
      <c r="G83" s="48">
        <f>IF(Résumé!$F$25&lt;5,"",(IF($M$56="","-",$R$56)))</f>
      </c>
      <c r="H83" s="48">
        <f>IF(Résumé!$F$25&lt;6,"",(IF($M$58="","-",$R$58)))</f>
      </c>
      <c r="I83" s="48">
        <f>IF(Résumé!$F$25&lt;7,"",(IF($M$60="","-",$R$60)))</f>
      </c>
      <c r="J83" s="48">
        <f>IF(Résumé!$F$25&lt;8,"",(IF($M$62="","-",$R$62)))</f>
      </c>
      <c r="K83" s="48">
        <f>IF(Résumé!$F$25&lt;9,"",(IF($M$64="","-",$R$64)))</f>
      </c>
      <c r="L83" s="48">
        <f>IF(Résumé!$F$25&lt;10,"",(IF($M$66="","-",$R$66)))</f>
      </c>
      <c r="M83" s="48">
        <f>IF(Résumé!$F$25&lt;11,"",(IF($M$68="","-",$R$68)))</f>
      </c>
      <c r="N83" s="48">
        <f>IF(Résumé!$F$25&lt;12,"",(IF($M$70="","-",$R$70)))</f>
      </c>
    </row>
    <row r="84" spans="1:14" ht="12.75">
      <c r="A84" s="37" t="s">
        <v>79</v>
      </c>
      <c r="B84" s="48">
        <f>$V$46</f>
        <v>49.5625</v>
      </c>
      <c r="C84" s="48">
        <f>$V$48</f>
        <v>49.5625</v>
      </c>
      <c r="D84" s="48">
        <f>IF(Résumé!$F$25&lt;2,"",$V$50)</f>
        <v>49.5625</v>
      </c>
      <c r="E84" s="48">
        <f>IF(Résumé!$F$25&lt;3,"",$V$52)</f>
      </c>
      <c r="F84" s="48">
        <f>IF(Résumé!$F$25&lt;4,"",$V$54)</f>
      </c>
      <c r="G84" s="48">
        <f>IF(Résumé!$F$25&lt;5,"",$V$56)</f>
      </c>
      <c r="H84" s="48">
        <f>IF(Résumé!$F$25&lt;6,"",$V$58)</f>
      </c>
      <c r="I84" s="48">
        <f>IF(Résumé!$F$25&lt;7,"",$V$60)</f>
      </c>
      <c r="J84" s="48">
        <f>IF(Résumé!$F$25&lt;8,"",$V$62)</f>
      </c>
      <c r="K84" s="48">
        <f>IF(Résumé!$F$25&lt;9,"",$V$64)</f>
      </c>
      <c r="L84" s="48">
        <f>IF(Résumé!$F$25&lt;10,"",$V$66)</f>
      </c>
      <c r="M84" s="48">
        <f>IF(Résumé!$F$25&lt;11,"",$V$68)</f>
      </c>
      <c r="N84" s="48">
        <f>IF(Résumé!$F$25&lt;12,"",$V$70)</f>
      </c>
    </row>
    <row r="86" ht="13.5" thickBot="1"/>
    <row r="87" spans="13:14" ht="19.5" customHeight="1" thickBot="1">
      <c r="M87" s="30" t="s">
        <v>81</v>
      </c>
      <c r="N87" s="31">
        <f>IF(Z44=FALSE,"",W44)</f>
      </c>
    </row>
    <row r="89" ht="12.75">
      <c r="A89" s="3" t="s">
        <v>153</v>
      </c>
    </row>
    <row r="90" ht="6" customHeight="1"/>
    <row r="91" spans="1:16" ht="12.75">
      <c r="A91" s="37" t="s">
        <v>83</v>
      </c>
      <c r="B91" s="7" t="s">
        <v>84</v>
      </c>
      <c r="P91" s="36">
        <v>2</v>
      </c>
    </row>
    <row r="92" ht="12.75">
      <c r="P92" s="38" t="s">
        <v>85</v>
      </c>
    </row>
    <row r="93" ht="12.75">
      <c r="P93" s="39" t="s">
        <v>39</v>
      </c>
    </row>
    <row r="94" ht="12.75">
      <c r="P94" s="40" t="s">
        <v>40</v>
      </c>
    </row>
    <row r="95" spans="16:17" ht="12.75">
      <c r="P95" s="2" t="b">
        <f>IF(P91=2,TRUE,FALSE)</f>
        <v>1</v>
      </c>
      <c r="Q95" s="2" t="s">
        <v>156</v>
      </c>
    </row>
    <row r="96" ht="12.75">
      <c r="P96" s="5" t="str">
        <f>IF(P91=1,"",(IF(P91=2,"rend","ne rend pas")))</f>
        <v>rend</v>
      </c>
    </row>
    <row r="99" ht="12.75">
      <c r="C99" s="55" t="str">
        <f>IF(P91=1,"",("La dissymétrie en élévation "&amp;P96&amp;" le tablier sensible à la rotation."))</f>
        <v>La dissymétrie en élévation rend le tablier sensible à la rotation.</v>
      </c>
    </row>
    <row r="100" ht="13.5" thickBot="1"/>
    <row r="101" spans="2:14" ht="19.5" customHeight="1" thickBot="1">
      <c r="B101" s="7" t="s">
        <v>91</v>
      </c>
      <c r="M101" s="50" t="s">
        <v>86</v>
      </c>
      <c r="N101" s="33"/>
    </row>
    <row r="102" spans="16:17" ht="12.75" customHeight="1">
      <c r="P102" s="2">
        <f>E47+E49+E51+E53+E55+E57+E59+E61+E63+E65+E67+E69</f>
        <v>0</v>
      </c>
      <c r="Q102" s="2" t="s">
        <v>68</v>
      </c>
    </row>
    <row r="103" ht="12.75" customHeight="1">
      <c r="P103" s="51">
        <f>IF(P102=0,"",N101/P102)</f>
      </c>
    </row>
    <row r="104" spans="13:17" ht="12.75" customHeight="1">
      <c r="M104" s="49" t="s">
        <v>87</v>
      </c>
      <c r="N104" s="52">
        <f>IF(N101=0,"",1/P103)</f>
      </c>
      <c r="O104" s="37" t="str">
        <f>IF(P104,"&gt;= 0,44","&lt; 0,44")</f>
        <v>&lt; 0,44</v>
      </c>
      <c r="P104" s="28" t="str">
        <f>IF(OR(N101=0,P103&gt;1/0.44),"FAUX","VRAI")</f>
        <v>FAUX</v>
      </c>
      <c r="Q104" s="2" t="s">
        <v>156</v>
      </c>
    </row>
    <row r="105" spans="14:16" ht="12.75" customHeight="1">
      <c r="N105" s="54"/>
      <c r="P105" s="5" t="str">
        <f>IF(P104,"rend","ne rend pas")</f>
        <v>ne rend pas</v>
      </c>
    </row>
    <row r="106" ht="12.75" customHeight="1">
      <c r="N106" s="54"/>
    </row>
    <row r="107" spans="3:14" ht="12.75" customHeight="1">
      <c r="C107" s="55" t="str">
        <f>"La courbure en plan "&amp;P105&amp;" le tablier sensible à la rotation."</f>
        <v>La courbure en plan ne rend pas le tablier sensible à la rotation.</v>
      </c>
      <c r="N107" s="54"/>
    </row>
    <row r="108" ht="12.75" customHeight="1" thickBot="1"/>
    <row r="109" spans="2:16" ht="19.5" customHeight="1" thickBot="1">
      <c r="B109" s="7" t="s">
        <v>92</v>
      </c>
      <c r="M109" s="50" t="s">
        <v>89</v>
      </c>
      <c r="N109" s="33"/>
      <c r="P109" s="2">
        <f>IF(N109=0,"",(TAN((90-Résumé!F26)*PI()/180))^2-P102/N109*TAN((90-Résumé!F26)*PI()/180)+1)</f>
      </c>
    </row>
    <row r="110" spans="16:17" ht="12.75" customHeight="1">
      <c r="P110" s="2" t="b">
        <f>IF(AND(P109&lt;0,Résumé!F25&lt;=2),TRUE,FALSE)</f>
        <v>0</v>
      </c>
      <c r="Q110" s="2" t="s">
        <v>156</v>
      </c>
    </row>
    <row r="111" spans="3:16" ht="12.75" customHeight="1">
      <c r="C111" s="55" t="str">
        <f>"Le biais de l'ouvrage "&amp;P111&amp;" le tablier sensible à la rotation."</f>
        <v>Le biais de l'ouvrage ne rend pas le tablier sensible à la rotation.</v>
      </c>
      <c r="P111" s="5" t="str">
        <f>IF(P110,"rend","ne rend pas")</f>
        <v>ne rend pas</v>
      </c>
    </row>
    <row r="112" ht="12.75" customHeight="1" thickBot="1"/>
    <row r="113" spans="9:19" ht="19.5" customHeight="1" thickBot="1">
      <c r="I113" s="49" t="s">
        <v>93</v>
      </c>
      <c r="J113" s="53">
        <f>1+S113*0.2</f>
        <v>1.2</v>
      </c>
      <c r="M113" s="165" t="s">
        <v>257</v>
      </c>
      <c r="N113" s="166">
        <f>IF(OR(N5="",P13=1,Z44=FALSE,P91=1,N109=""),"",MIN(1,X44*J113))</f>
      </c>
      <c r="P113" s="69">
        <f>IF(P95,1,0)</f>
        <v>1</v>
      </c>
      <c r="Q113" s="70">
        <f>IF(P104,1,0)</f>
        <v>0</v>
      </c>
      <c r="R113" s="71">
        <f>IF(P110,1,0)</f>
        <v>0</v>
      </c>
      <c r="S113" s="56">
        <f>SUM(P113:R113)</f>
        <v>1</v>
      </c>
    </row>
    <row r="114" ht="12.75" customHeight="1"/>
    <row r="115" ht="12.75" customHeight="1">
      <c r="A115" s="3" t="s">
        <v>154</v>
      </c>
    </row>
    <row r="116" ht="6" customHeight="1"/>
    <row r="117" spans="16:23" ht="12.75" customHeight="1">
      <c r="P117" s="34">
        <v>7</v>
      </c>
      <c r="Q117" s="2">
        <f>IF($P117=2,0,"")</f>
      </c>
      <c r="R117" s="2">
        <f>IF($P117=3,0,Q117)</f>
      </c>
      <c r="S117" s="2">
        <f>IF($P117=4,0.1,R117)</f>
      </c>
      <c r="T117" s="2">
        <f>IF($P117=5,0.2,S117)</f>
      </c>
      <c r="U117" s="2">
        <f>IF($P117=6,0.2,T117)</f>
      </c>
      <c r="V117" s="2">
        <f>IF($P117=7,0.5,U117)</f>
        <v>0.5</v>
      </c>
      <c r="W117" s="57">
        <f>IF($P117=8,0.5,V117)</f>
        <v>0.5</v>
      </c>
    </row>
    <row r="118" spans="16:25" ht="12.75" customHeight="1">
      <c r="P118" s="58" t="s">
        <v>41</v>
      </c>
      <c r="Q118" s="59"/>
      <c r="R118" s="59"/>
      <c r="S118" s="59"/>
      <c r="T118" s="59"/>
      <c r="U118" s="59"/>
      <c r="V118" s="59"/>
      <c r="W118" s="59"/>
      <c r="X118" s="59"/>
      <c r="Y118" s="60"/>
    </row>
    <row r="119" spans="16:25" ht="12.75">
      <c r="P119" s="61" t="s">
        <v>295</v>
      </c>
      <c r="Q119" s="62"/>
      <c r="R119" s="62"/>
      <c r="S119" s="62"/>
      <c r="T119" s="62"/>
      <c r="U119" s="62"/>
      <c r="V119" s="62"/>
      <c r="W119" s="62"/>
      <c r="X119" s="62"/>
      <c r="Y119" s="63"/>
    </row>
    <row r="120" spans="16:25" ht="12.75">
      <c r="P120" s="61" t="s">
        <v>232</v>
      </c>
      <c r="Q120" s="62"/>
      <c r="R120" s="62"/>
      <c r="S120" s="62"/>
      <c r="T120" s="62"/>
      <c r="U120" s="62"/>
      <c r="V120" s="62"/>
      <c r="W120" s="62"/>
      <c r="X120" s="62"/>
      <c r="Y120" s="63"/>
    </row>
    <row r="121" spans="16:25" ht="12.75">
      <c r="P121" s="61" t="s">
        <v>233</v>
      </c>
      <c r="Q121" s="62"/>
      <c r="R121" s="62"/>
      <c r="S121" s="62"/>
      <c r="T121" s="62"/>
      <c r="U121" s="62"/>
      <c r="V121" s="62"/>
      <c r="W121" s="62"/>
      <c r="X121" s="62"/>
      <c r="Y121" s="63"/>
    </row>
    <row r="122" spans="16:25" ht="12.75">
      <c r="P122" s="61" t="s">
        <v>94</v>
      </c>
      <c r="Q122" s="62"/>
      <c r="R122" s="62"/>
      <c r="S122" s="62"/>
      <c r="T122" s="62"/>
      <c r="U122" s="62"/>
      <c r="V122" s="62"/>
      <c r="W122" s="62"/>
      <c r="X122" s="62"/>
      <c r="Y122" s="63"/>
    </row>
    <row r="123" spans="16:25" ht="12.75">
      <c r="P123" s="61" t="s">
        <v>97</v>
      </c>
      <c r="Q123" s="62"/>
      <c r="R123" s="62"/>
      <c r="S123" s="62"/>
      <c r="T123" s="62"/>
      <c r="U123" s="62"/>
      <c r="V123" s="62"/>
      <c r="W123" s="62"/>
      <c r="X123" s="62"/>
      <c r="Y123" s="63"/>
    </row>
    <row r="124" spans="2:25" ht="12.75">
      <c r="B124" s="7" t="s">
        <v>98</v>
      </c>
      <c r="P124" s="61" t="s">
        <v>95</v>
      </c>
      <c r="Q124" s="62"/>
      <c r="R124" s="62"/>
      <c r="S124" s="62"/>
      <c r="T124" s="62"/>
      <c r="U124" s="62"/>
      <c r="V124" s="62"/>
      <c r="W124" s="62"/>
      <c r="X124" s="62"/>
      <c r="Y124" s="63"/>
    </row>
    <row r="125" spans="16:25" ht="12.75">
      <c r="P125" s="64" t="s">
        <v>96</v>
      </c>
      <c r="Q125" s="65"/>
      <c r="R125" s="65"/>
      <c r="S125" s="65"/>
      <c r="T125" s="65"/>
      <c r="U125" s="65"/>
      <c r="V125" s="65"/>
      <c r="W125" s="65"/>
      <c r="X125" s="65"/>
      <c r="Y125" s="66"/>
    </row>
    <row r="126" ht="12.75">
      <c r="P126" s="36">
        <v>2</v>
      </c>
    </row>
    <row r="127" ht="12.75">
      <c r="P127" s="38" t="s">
        <v>41</v>
      </c>
    </row>
    <row r="128" ht="12.75">
      <c r="P128" s="39" t="s">
        <v>100</v>
      </c>
    </row>
    <row r="129" ht="12.75">
      <c r="P129" s="39" t="s">
        <v>99</v>
      </c>
    </row>
    <row r="130" ht="13.5" thickBot="1">
      <c r="P130" s="56">
        <f>IF(P126=1,"",IF(P126=2,0,1))</f>
        <v>0</v>
      </c>
    </row>
    <row r="131" spans="9:14" ht="19.5" customHeight="1" thickBot="1">
      <c r="I131" s="49" t="s">
        <v>296</v>
      </c>
      <c r="J131" s="53">
        <f>P130</f>
        <v>0</v>
      </c>
      <c r="M131" s="165" t="s">
        <v>258</v>
      </c>
      <c r="N131" s="166">
        <f>IF(OR(P117=1,P126=1),"",P130*J113*W117)</f>
        <v>0</v>
      </c>
    </row>
    <row r="133" ht="13.5" thickBot="1"/>
    <row r="134" spans="12:14" ht="24.75" customHeight="1" thickBot="1" thickTop="1">
      <c r="L134" s="393" t="s">
        <v>101</v>
      </c>
      <c r="M134" s="394"/>
      <c r="N134" s="162">
        <f>Résumé!C10</f>
      </c>
    </row>
    <row r="135" ht="13.5" thickTop="1"/>
  </sheetData>
  <sheetProtection password="EECD" sheet="1" objects="1" scenarios="1"/>
  <mergeCells count="3">
    <mergeCell ref="L134:M134"/>
    <mergeCell ref="N1:N2"/>
    <mergeCell ref="M1:M2"/>
  </mergeCells>
  <printOptions horizontalCentered="1"/>
  <pageMargins left="1.5748031496062993" right="1.5748031496062993" top="0.7874015748031497" bottom="0.7874015748031497" header="0.31496062992125984" footer="0.31496062992125984"/>
  <pageSetup horizontalDpi="600" verticalDpi="600" orientation="landscape" paperSize="9" scale="83" r:id="rId3"/>
  <rowBreaks count="3" manualBreakCount="3">
    <brk id="39" max="255" man="1"/>
    <brk id="72" max="255" man="1"/>
    <brk id="113"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Feuil5"/>
  <dimension ref="A1:S65"/>
  <sheetViews>
    <sheetView workbookViewId="0" topLeftCell="A1">
      <pane ySplit="2" topLeftCell="BM33" activePane="bottomLeft" state="frozen"/>
      <selection pane="topLeft" activeCell="A1" sqref="A1"/>
      <selection pane="bottomLeft" activeCell="K50" sqref="K50"/>
    </sheetView>
  </sheetViews>
  <sheetFormatPr defaultColWidth="11.421875" defaultRowHeight="12.75"/>
  <cols>
    <col min="1" max="1" width="8.8515625" style="37" customWidth="1"/>
    <col min="2" max="2" width="9.7109375" style="37" customWidth="1"/>
    <col min="3" max="3" width="10.57421875" style="37" customWidth="1"/>
    <col min="4" max="4" width="11.140625" style="37" customWidth="1"/>
    <col min="5" max="5" width="10.00390625" style="37" customWidth="1"/>
    <col min="6" max="6" width="9.28125" style="37" customWidth="1"/>
    <col min="7" max="7" width="8.7109375" style="37" customWidth="1"/>
    <col min="8" max="8" width="10.8515625" style="37" customWidth="1"/>
    <col min="9" max="11" width="7.8515625" style="37" customWidth="1"/>
    <col min="12" max="15" width="7.8515625" style="2" hidden="1" customWidth="1"/>
    <col min="16" max="16" width="12.28125" style="2" hidden="1" customWidth="1"/>
    <col min="17" max="17" width="16.28125" style="2" hidden="1" customWidth="1"/>
    <col min="18" max="18" width="19.8515625" style="2" hidden="1" customWidth="1"/>
    <col min="19" max="21" width="7.8515625" style="2" hidden="1" customWidth="1"/>
    <col min="22" max="16384" width="7.8515625" style="2" customWidth="1"/>
  </cols>
  <sheetData>
    <row r="1" spans="1:17" s="134" customFormat="1" ht="19.5" customHeight="1" thickTop="1">
      <c r="A1" s="151" t="s">
        <v>218</v>
      </c>
      <c r="B1" s="151" t="s">
        <v>275</v>
      </c>
      <c r="C1" s="151" t="s">
        <v>219</v>
      </c>
      <c r="D1" s="151" t="s">
        <v>220</v>
      </c>
      <c r="E1" s="151" t="s">
        <v>221</v>
      </c>
      <c r="F1" s="241" t="s">
        <v>331</v>
      </c>
      <c r="G1" s="150"/>
      <c r="H1" s="242" t="s">
        <v>332</v>
      </c>
      <c r="I1" s="241" t="s">
        <v>333</v>
      </c>
      <c r="J1" s="242" t="s">
        <v>334</v>
      </c>
      <c r="K1" s="368"/>
      <c r="L1" s="135"/>
      <c r="M1" s="135"/>
      <c r="N1" s="135"/>
      <c r="O1" s="135"/>
      <c r="P1" s="135"/>
      <c r="Q1" s="135"/>
    </row>
    <row r="2" spans="1:13" s="137" customFormat="1" ht="24.75" customHeight="1" thickBot="1">
      <c r="A2" s="153">
        <f>Résumé!$C$5</f>
      </c>
      <c r="B2" s="153" t="str">
        <f>Résumé!$W$24</f>
        <v>-</v>
      </c>
      <c r="C2" s="153">
        <f>Résumé!$W$15</f>
      </c>
      <c r="D2" s="153">
        <f>Résumé!$W$18</f>
      </c>
      <c r="E2" s="153">
        <f>IF(OR(Général!$L$91=2,Général!$L$91=5,Général!$G$100=1)," -",IF(Résumé!$C$16="","",Résumé!$C$16))</f>
        <v>0</v>
      </c>
      <c r="F2" s="243" t="e">
        <f>Général!$N$120</f>
        <v>#VALUE!</v>
      </c>
      <c r="G2" s="152"/>
      <c r="H2" s="243">
        <f>Env!$K$19</f>
        <v>1</v>
      </c>
      <c r="I2" s="243">
        <f>Env!$K$23</f>
        <v>1</v>
      </c>
      <c r="J2" s="244">
        <f>Env!$K$86</f>
        <v>0.7</v>
      </c>
      <c r="K2" s="369"/>
      <c r="L2" s="136"/>
      <c r="M2" s="136"/>
    </row>
    <row r="3" ht="13.5" thickTop="1">
      <c r="A3" s="3" t="s">
        <v>116</v>
      </c>
    </row>
    <row r="4" ht="6" customHeight="1"/>
    <row r="5" ht="12.75">
      <c r="A5" s="3" t="s">
        <v>213</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9" ht="6" customHeight="1"/>
    <row r="30" ht="12.75">
      <c r="A30" s="3" t="s">
        <v>112</v>
      </c>
    </row>
    <row r="31" ht="12.75">
      <c r="L31" s="34">
        <v>8</v>
      </c>
    </row>
    <row r="32" spans="12:19" ht="12.75">
      <c r="L32" s="58" t="s">
        <v>85</v>
      </c>
      <c r="M32" s="59"/>
      <c r="N32" s="59"/>
      <c r="O32" s="59"/>
      <c r="P32" s="59"/>
      <c r="Q32" s="59"/>
      <c r="R32" s="60"/>
      <c r="S32" s="38">
        <f>""</f>
      </c>
    </row>
    <row r="33" spans="12:19" ht="12.75">
      <c r="L33" s="61" t="s">
        <v>234</v>
      </c>
      <c r="M33" s="62"/>
      <c r="N33" s="62"/>
      <c r="O33" s="62"/>
      <c r="P33" s="62"/>
      <c r="Q33" s="62"/>
      <c r="R33" s="63"/>
      <c r="S33" s="39">
        <v>1</v>
      </c>
    </row>
    <row r="34" spans="12:19" ht="12.75">
      <c r="L34" s="61" t="s">
        <v>375</v>
      </c>
      <c r="M34" s="62"/>
      <c r="N34" s="62"/>
      <c r="O34" s="62"/>
      <c r="P34" s="62"/>
      <c r="Q34" s="62"/>
      <c r="R34" s="63"/>
      <c r="S34" s="39">
        <v>0.8</v>
      </c>
    </row>
    <row r="35" spans="12:19" ht="12.75">
      <c r="L35" s="61" t="s">
        <v>235</v>
      </c>
      <c r="M35" s="62"/>
      <c r="N35" s="62"/>
      <c r="O35" s="62"/>
      <c r="P35" s="62"/>
      <c r="Q35" s="62"/>
      <c r="R35" s="63"/>
      <c r="S35" s="39">
        <v>0.7</v>
      </c>
    </row>
    <row r="36" spans="12:19" ht="12.75">
      <c r="L36" s="61" t="s">
        <v>377</v>
      </c>
      <c r="M36" s="62"/>
      <c r="N36" s="62"/>
      <c r="O36" s="62"/>
      <c r="P36" s="62"/>
      <c r="Q36" s="62"/>
      <c r="R36" s="63"/>
      <c r="S36" s="39">
        <v>0.3</v>
      </c>
    </row>
    <row r="37" spans="12:19" ht="12.75">
      <c r="L37" s="61" t="s">
        <v>236</v>
      </c>
      <c r="M37" s="62"/>
      <c r="N37" s="62"/>
      <c r="O37" s="62"/>
      <c r="P37" s="62"/>
      <c r="Q37" s="62"/>
      <c r="R37" s="63"/>
      <c r="S37" s="39">
        <v>0.3</v>
      </c>
    </row>
    <row r="38" spans="12:19" ht="12.75">
      <c r="L38" s="61" t="s">
        <v>376</v>
      </c>
      <c r="R38" s="63"/>
      <c r="S38" s="39">
        <v>0.3</v>
      </c>
    </row>
    <row r="39" spans="12:19" ht="12.75">
      <c r="L39" s="61" t="s">
        <v>379</v>
      </c>
      <c r="M39" s="62"/>
      <c r="N39" s="62"/>
      <c r="O39" s="62"/>
      <c r="P39" s="62"/>
      <c r="Q39" s="62"/>
      <c r="R39" s="63"/>
      <c r="S39" s="39">
        <v>0.2</v>
      </c>
    </row>
    <row r="40" spans="12:19" ht="12.75">
      <c r="L40" s="289" t="s">
        <v>378</v>
      </c>
      <c r="M40" s="65"/>
      <c r="N40" s="65"/>
      <c r="O40" s="65"/>
      <c r="P40" s="65"/>
      <c r="Q40" s="65"/>
      <c r="R40" s="65"/>
      <c r="S40" s="40">
        <v>0.1</v>
      </c>
    </row>
    <row r="41" spans="13:19" ht="12.75">
      <c r="M41" s="62"/>
      <c r="N41" s="62"/>
      <c r="O41" s="62"/>
      <c r="P41" s="62"/>
      <c r="S41" s="229">
        <f>INDEX(S32:S40,L31)</f>
        <v>0.2</v>
      </c>
    </row>
    <row r="42" ht="12.75"/>
    <row r="43" spans="12:16" ht="12.75">
      <c r="L43" s="62"/>
      <c r="M43" s="62"/>
      <c r="N43" s="62"/>
      <c r="O43" s="62"/>
      <c r="P43" s="62"/>
    </row>
    <row r="44" spans="12:19" ht="12.75">
      <c r="L44" s="248"/>
      <c r="N44" s="248"/>
      <c r="O44" s="248"/>
      <c r="P44" s="248"/>
      <c r="Q44" s="248"/>
      <c r="R44" s="248"/>
      <c r="S44" s="248"/>
    </row>
    <row r="45" spans="12:19" ht="12.75">
      <c r="L45" s="248"/>
      <c r="M45" s="248"/>
      <c r="N45" s="248"/>
      <c r="O45" s="248"/>
      <c r="P45" s="248"/>
      <c r="Q45" s="248"/>
      <c r="R45" s="270"/>
      <c r="S45" s="248"/>
    </row>
    <row r="46" spans="12:19" ht="12.75">
      <c r="L46" s="248"/>
      <c r="M46" s="248"/>
      <c r="N46" s="248"/>
      <c r="O46" s="248"/>
      <c r="P46" s="248"/>
      <c r="Q46" s="248"/>
      <c r="R46" s="248"/>
      <c r="S46" s="248"/>
    </row>
    <row r="47" ht="12.75"/>
    <row r="49" ht="13.5" thickBot="1"/>
    <row r="50" spans="2:11" ht="19.5" customHeight="1" thickBot="1">
      <c r="B50" s="7" t="s">
        <v>110</v>
      </c>
      <c r="J50" s="50" t="s">
        <v>111</v>
      </c>
      <c r="K50" s="67"/>
    </row>
    <row r="51" ht="13.5" thickBot="1"/>
    <row r="52" spans="10:11" ht="19.5" customHeight="1" thickBot="1">
      <c r="J52" s="165" t="s">
        <v>260</v>
      </c>
      <c r="K52" s="166">
        <f>IF(OR(L31=1,K50=""),"",MIN(1,S41*0.025*K50^2))</f>
      </c>
    </row>
    <row r="54" ht="12.75">
      <c r="A54" s="3" t="s">
        <v>113</v>
      </c>
    </row>
    <row r="55" ht="12.75">
      <c r="L55" s="34">
        <v>5</v>
      </c>
    </row>
    <row r="56" spans="2:16" ht="12.75">
      <c r="B56" s="7" t="s">
        <v>114</v>
      </c>
      <c r="L56" s="58" t="s">
        <v>85</v>
      </c>
      <c r="M56" s="59"/>
      <c r="N56" s="59"/>
      <c r="O56" s="60"/>
      <c r="P56" s="38"/>
    </row>
    <row r="57" spans="12:16" ht="12.75">
      <c r="L57" s="61" t="s">
        <v>237</v>
      </c>
      <c r="M57" s="62"/>
      <c r="N57" s="62"/>
      <c r="O57" s="63"/>
      <c r="P57" s="39">
        <v>1</v>
      </c>
    </row>
    <row r="58" spans="12:16" ht="12.75">
      <c r="L58" s="61" t="s">
        <v>238</v>
      </c>
      <c r="M58" s="62"/>
      <c r="N58" s="62"/>
      <c r="O58" s="63"/>
      <c r="P58" s="39">
        <v>0.7</v>
      </c>
    </row>
    <row r="59" spans="12:16" ht="12.75">
      <c r="L59" s="61" t="s">
        <v>239</v>
      </c>
      <c r="M59" s="62"/>
      <c r="N59" s="62"/>
      <c r="O59" s="63"/>
      <c r="P59" s="39">
        <v>0.5</v>
      </c>
    </row>
    <row r="60" spans="12:16" ht="12.75">
      <c r="L60" s="64" t="s">
        <v>240</v>
      </c>
      <c r="M60" s="65"/>
      <c r="N60" s="65"/>
      <c r="O60" s="66"/>
      <c r="P60" s="40">
        <v>0.3</v>
      </c>
    </row>
    <row r="61" spans="12:16" ht="12.75">
      <c r="L61" s="272"/>
      <c r="M61" s="272"/>
      <c r="N61" s="272"/>
      <c r="O61" s="273"/>
      <c r="P61" s="233">
        <f>INDEX(P56:P60,L55)</f>
        <v>0.3</v>
      </c>
    </row>
    <row r="62" ht="13.5" thickBot="1"/>
    <row r="63" spans="10:11" ht="19.5" customHeight="1" thickBot="1">
      <c r="J63" s="165" t="s">
        <v>259</v>
      </c>
      <c r="K63" s="166">
        <f>IF(L55=1,"",MIN(1,P61*0.025*K50^2))</f>
        <v>0</v>
      </c>
    </row>
    <row r="64" ht="13.5" thickBot="1"/>
    <row r="65" spans="9:11" ht="24.75" customHeight="1" thickBot="1" thickTop="1">
      <c r="I65" s="393" t="s">
        <v>164</v>
      </c>
      <c r="J65" s="394"/>
      <c r="K65" s="162">
        <f>Résumé!C13</f>
      </c>
    </row>
    <row r="66" ht="13.5" thickTop="1"/>
  </sheetData>
  <sheetProtection password="EECD" sheet="1" objects="1" scenarios="1"/>
  <mergeCells count="2">
    <mergeCell ref="I65:J65"/>
    <mergeCell ref="K1:K2"/>
  </mergeCells>
  <printOptions/>
  <pageMargins left="0.7874015748031497" right="0.7874015748031497" top="0.7874015748031497" bottom="0.7874015748031497" header="0.5118110236220472" footer="0.5118110236220472"/>
  <pageSetup horizontalDpi="600" verticalDpi="600" orientation="portrait" paperSize="9" scale="85" r:id="rId3"/>
  <drawing r:id="rId2"/>
  <legacyDrawing r:id="rId1"/>
</worksheet>
</file>

<file path=xl/worksheets/sheet5.xml><?xml version="1.0" encoding="utf-8"?>
<worksheet xmlns="http://schemas.openxmlformats.org/spreadsheetml/2006/main" xmlns:r="http://schemas.openxmlformats.org/officeDocument/2006/relationships">
  <sheetPr codeName="Feuil6"/>
  <dimension ref="A1:T61"/>
  <sheetViews>
    <sheetView workbookViewId="0" topLeftCell="A1">
      <pane ySplit="2" topLeftCell="BM15" activePane="bottomLeft" state="frozen"/>
      <selection pane="topLeft" activeCell="A1" sqref="A1"/>
      <selection pane="bottomLeft" activeCell="F60" sqref="F60"/>
    </sheetView>
  </sheetViews>
  <sheetFormatPr defaultColWidth="11.421875" defaultRowHeight="12.75"/>
  <cols>
    <col min="1" max="10" width="7.8515625" style="37" customWidth="1"/>
    <col min="11" max="11" width="8.00390625" style="37" customWidth="1"/>
    <col min="12" max="23" width="7.8515625" style="2" hidden="1" customWidth="1"/>
    <col min="24" max="16384" width="7.8515625" style="2" customWidth="1"/>
  </cols>
  <sheetData>
    <row r="1" spans="1:17" s="134" customFormat="1" ht="19.5" customHeight="1" thickTop="1">
      <c r="A1" s="151" t="s">
        <v>218</v>
      </c>
      <c r="B1" s="151" t="s">
        <v>275</v>
      </c>
      <c r="C1" s="151" t="s">
        <v>219</v>
      </c>
      <c r="D1" s="151" t="s">
        <v>220</v>
      </c>
      <c r="E1" s="151" t="s">
        <v>221</v>
      </c>
      <c r="F1" s="241" t="s">
        <v>331</v>
      </c>
      <c r="G1" s="150"/>
      <c r="H1" s="242" t="s">
        <v>332</v>
      </c>
      <c r="I1" s="241" t="s">
        <v>333</v>
      </c>
      <c r="J1" s="242" t="s">
        <v>334</v>
      </c>
      <c r="K1" s="368"/>
      <c r="L1" s="135"/>
      <c r="M1" s="135"/>
      <c r="N1" s="135"/>
      <c r="O1" s="135"/>
      <c r="P1" s="135"/>
      <c r="Q1" s="135"/>
    </row>
    <row r="2" spans="1:13" s="137" customFormat="1" ht="24.75" customHeight="1" thickBot="1">
      <c r="A2" s="153">
        <f>Résumé!$C$5</f>
      </c>
      <c r="B2" s="153" t="str">
        <f>Résumé!$W$24</f>
        <v>-</v>
      </c>
      <c r="C2" s="153">
        <f>Résumé!$W$15</f>
      </c>
      <c r="D2" s="153">
        <f>Résumé!$W$18</f>
      </c>
      <c r="E2" s="153">
        <f>IF(OR(Général!$L$91=2,Général!$L$91=5,Général!$G$100=1)," -",IF(Résumé!$C$16="","",Résumé!$C$16))</f>
        <v>0</v>
      </c>
      <c r="F2" s="243" t="e">
        <f>Général!$N$120</f>
        <v>#VALUE!</v>
      </c>
      <c r="G2" s="152"/>
      <c r="H2" s="243">
        <f>Env!$K$19</f>
        <v>1</v>
      </c>
      <c r="I2" s="243">
        <f>Env!$K$23</f>
        <v>1</v>
      </c>
      <c r="J2" s="244">
        <f>Env!$K$86</f>
        <v>0.7</v>
      </c>
      <c r="K2" s="369"/>
      <c r="L2" s="136"/>
      <c r="M2" s="136"/>
    </row>
    <row r="3" ht="13.5" thickTop="1">
      <c r="A3" s="3" t="s">
        <v>115</v>
      </c>
    </row>
    <row r="4" ht="6" customHeight="1"/>
    <row r="5" ht="12.75">
      <c r="A5" s="3" t="s">
        <v>117</v>
      </c>
    </row>
    <row r="9" spans="18:19" ht="12.75">
      <c r="R9" s="96" t="s">
        <v>146</v>
      </c>
      <c r="S9" s="96" t="s">
        <v>147</v>
      </c>
    </row>
    <row r="10" spans="15:19" ht="12.75">
      <c r="O10" s="2" t="s">
        <v>148</v>
      </c>
      <c r="P10" s="97">
        <f>IF(P12=0,"",P11/P12)</f>
      </c>
      <c r="Q10" s="97">
        <f>IF(Q12=0,"",Q11/Q12)</f>
      </c>
      <c r="R10" s="97">
        <f>R14/($L$13+3)</f>
        <v>0</v>
      </c>
      <c r="S10" s="97">
        <f>S14/($L$13+3)</f>
        <v>0</v>
      </c>
    </row>
    <row r="11" spans="15:17" ht="12.75">
      <c r="O11" s="2" t="s">
        <v>144</v>
      </c>
      <c r="P11" s="95">
        <f>MAX(P17,P19,P21,P23,P25,P27,P29,P31,P33,P35,P37)</f>
        <v>0</v>
      </c>
      <c r="Q11" s="95">
        <f>MAX(Q17,Q19,Q21,Q23,Q25,Q27,Q29,Q31,Q33,Q35,Q37)</f>
        <v>0</v>
      </c>
    </row>
    <row r="12" spans="15:17" ht="12.75">
      <c r="O12" s="2" t="s">
        <v>145</v>
      </c>
      <c r="P12" s="95">
        <f>MIN(P17,P19,P21,P23,P25,P27,P29,P31,P33,P35,P37)</f>
        <v>0</v>
      </c>
      <c r="Q12" s="95">
        <f>MIN(Q17,Q19,Q21,Q23,Q25,Q27,Q29,Q31,Q33,Q35,Q37)</f>
        <v>0</v>
      </c>
    </row>
    <row r="13" spans="1:13" ht="12.75">
      <c r="A13" s="85"/>
      <c r="B13" s="86"/>
      <c r="C13" s="86"/>
      <c r="F13" s="87" t="s">
        <v>118</v>
      </c>
      <c r="G13" s="86"/>
      <c r="I13" s="87" t="s">
        <v>119</v>
      </c>
      <c r="J13" s="86"/>
      <c r="K13" s="86"/>
      <c r="L13" s="94">
        <f>Résumé!F25</f>
        <v>2</v>
      </c>
      <c r="M13" s="2" t="s">
        <v>90</v>
      </c>
    </row>
    <row r="14" spans="14:19" ht="12.75">
      <c r="N14" s="98">
        <f>MIN(N15:N39)</f>
        <v>2</v>
      </c>
      <c r="O14" s="98">
        <f>MIN(O15:O39)</f>
        <v>2</v>
      </c>
      <c r="R14" s="93">
        <f>R15+R17+R19+R21+R23+R25+R27+R29+R31+R33+R35+R37+R39</f>
        <v>0</v>
      </c>
      <c r="S14" s="93">
        <f>S15+S17+S19+S21+S23+S25+S27+S29+S31+S33+S35+S37+S39</f>
        <v>0</v>
      </c>
    </row>
    <row r="15" spans="1:19" s="62" customFormat="1" ht="19.5" customHeight="1">
      <c r="A15" s="88"/>
      <c r="B15" s="89" t="s">
        <v>43</v>
      </c>
      <c r="C15" s="90" t="s">
        <v>120</v>
      </c>
      <c r="D15" s="91" t="str">
        <f>Tablier!G46&amp;" m"</f>
        <v> m</v>
      </c>
      <c r="E15" s="88"/>
      <c r="F15" s="88"/>
      <c r="G15" s="88"/>
      <c r="H15" s="88"/>
      <c r="I15" s="88"/>
      <c r="J15" s="92"/>
      <c r="K15" s="88"/>
      <c r="L15" s="36">
        <v>2</v>
      </c>
      <c r="M15" s="72">
        <v>2</v>
      </c>
      <c r="N15" s="58">
        <f>L15</f>
        <v>2</v>
      </c>
      <c r="O15" s="59">
        <f>M15</f>
        <v>2</v>
      </c>
      <c r="P15" s="59"/>
      <c r="Q15" s="59"/>
      <c r="R15" s="59">
        <f>(IF(AND(N15=N$14,$L$13&gt;2),2,0))</f>
        <v>0</v>
      </c>
      <c r="S15" s="60">
        <f>(IF(AND(O15=O$14,$L$13&gt;2),2,0))</f>
        <v>0</v>
      </c>
    </row>
    <row r="16" spans="14:19" ht="12.75">
      <c r="N16" s="61"/>
      <c r="O16" s="62"/>
      <c r="P16" s="62"/>
      <c r="Q16" s="62"/>
      <c r="R16" s="62"/>
      <c r="S16" s="63"/>
    </row>
    <row r="17" spans="1:19" s="62" customFormat="1" ht="19.5" customHeight="1">
      <c r="A17" s="88"/>
      <c r="B17" s="89" t="s">
        <v>44</v>
      </c>
      <c r="C17" s="90" t="s">
        <v>121</v>
      </c>
      <c r="D17" s="91" t="str">
        <f>Tablier!G48&amp;" m"</f>
        <v>0 m</v>
      </c>
      <c r="E17" s="88"/>
      <c r="F17" s="88"/>
      <c r="G17" s="88"/>
      <c r="H17" s="88"/>
      <c r="I17" s="88"/>
      <c r="J17" s="88"/>
      <c r="K17" s="88"/>
      <c r="L17" s="36">
        <v>2</v>
      </c>
      <c r="M17" s="72">
        <v>2</v>
      </c>
      <c r="N17" s="61">
        <f>L17</f>
        <v>2</v>
      </c>
      <c r="O17" s="62">
        <f>M17</f>
        <v>2</v>
      </c>
      <c r="P17" s="62">
        <f>IF(AND(N17=N$14,$L$13&gt;1),Tablier!$G48,"")</f>
        <v>0</v>
      </c>
      <c r="Q17" s="62">
        <f>IF(AND(O17=O$14,$L$13&gt;1),Tablier!$G48,"")</f>
        <v>0</v>
      </c>
      <c r="R17" s="62">
        <f>(IF(AND(N17=N$14,$L$13&gt;2),1,0))*IF($L$13=1,2,1)</f>
        <v>0</v>
      </c>
      <c r="S17" s="63">
        <f>(IF(AND(O17=O$14,$L$13&gt;2),1,0))*IF($L$13=1,2,1)</f>
        <v>0</v>
      </c>
    </row>
    <row r="18" spans="1:19" s="62" customFormat="1" ht="12.75">
      <c r="A18" s="88"/>
      <c r="B18" s="88"/>
      <c r="C18" s="88"/>
      <c r="D18" s="88"/>
      <c r="E18" s="88"/>
      <c r="F18" s="88"/>
      <c r="G18" s="88"/>
      <c r="H18" s="88"/>
      <c r="I18" s="88"/>
      <c r="J18" s="88"/>
      <c r="K18" s="88"/>
      <c r="N18" s="61"/>
      <c r="S18" s="63"/>
    </row>
    <row r="19" spans="1:19" s="62" customFormat="1" ht="19.5" customHeight="1">
      <c r="A19" s="88"/>
      <c r="B19" s="89" t="s">
        <v>45</v>
      </c>
      <c r="C19" s="90" t="s">
        <v>122</v>
      </c>
      <c r="D19" s="91" t="str">
        <f>Tablier!G50&amp;" m"</f>
        <v>0 m</v>
      </c>
      <c r="E19" s="88"/>
      <c r="F19" s="88"/>
      <c r="G19" s="88"/>
      <c r="H19" s="88"/>
      <c r="I19" s="88"/>
      <c r="J19" s="88"/>
      <c r="K19" s="88"/>
      <c r="L19" s="36">
        <v>2</v>
      </c>
      <c r="M19" s="72">
        <v>2</v>
      </c>
      <c r="N19" s="61">
        <f>IF($L$13&gt;1,L19,"")</f>
        <v>2</v>
      </c>
      <c r="O19" s="62">
        <f>IF($L$13&gt;1,M19,"")</f>
        <v>2</v>
      </c>
      <c r="P19" s="62">
        <f>IF(AND(N19=N$14,$L$13&gt;2),Tablier!$G50,"")</f>
      </c>
      <c r="Q19" s="62">
        <f>IF(AND(O19=O$14,$L$13&gt;2),Tablier!$G50,"")</f>
      </c>
      <c r="R19" s="62">
        <f>(IF(AND(N19=N$14,$L$13&gt;2),1,0))*IF($L$13=2,2,1)</f>
        <v>0</v>
      </c>
      <c r="S19" s="63">
        <f>(IF(AND(O19=O$14,$L$13&gt;2),1,0))*IF($L$13=2,2,1)</f>
        <v>0</v>
      </c>
    </row>
    <row r="20" spans="1:19" s="62" customFormat="1" ht="12.75" hidden="1">
      <c r="A20" s="88"/>
      <c r="B20" s="88"/>
      <c r="C20" s="88"/>
      <c r="D20" s="88"/>
      <c r="E20" s="88"/>
      <c r="F20" s="88"/>
      <c r="G20" s="88"/>
      <c r="H20" s="88"/>
      <c r="I20" s="88"/>
      <c r="J20" s="88"/>
      <c r="K20" s="88"/>
      <c r="N20" s="61"/>
      <c r="S20" s="63"/>
    </row>
    <row r="21" spans="1:19" s="62" customFormat="1" ht="19.5" customHeight="1" hidden="1">
      <c r="A21" s="88"/>
      <c r="B21" s="89" t="s">
        <v>46</v>
      </c>
      <c r="C21" s="90" t="s">
        <v>123</v>
      </c>
      <c r="D21" s="91" t="str">
        <f>Tablier!G52&amp;" m"</f>
        <v> m</v>
      </c>
      <c r="E21" s="88"/>
      <c r="F21" s="88"/>
      <c r="G21" s="88"/>
      <c r="H21" s="88"/>
      <c r="I21" s="88"/>
      <c r="J21" s="88"/>
      <c r="K21" s="88"/>
      <c r="L21" s="36">
        <v>2</v>
      </c>
      <c r="M21" s="72">
        <v>2</v>
      </c>
      <c r="N21" s="61">
        <f>IF($L$13&gt;2,L21,"")</f>
      </c>
      <c r="O21" s="62">
        <f>IF($L$13&gt;2,M21,"")</f>
      </c>
      <c r="P21" s="62">
        <f>IF(AND(N21=N$14,$L$13&gt;3),Tablier!$G52,"")</f>
      </c>
      <c r="Q21" s="62">
        <f>IF(AND(O21=O$14,$L$13&gt;3),Tablier!$G52,"")</f>
      </c>
      <c r="R21" s="62">
        <f>(IF(AND(N21=N$14,$L$13&gt;2),1,0))*IF($L$13=3,2,1)</f>
        <v>0</v>
      </c>
      <c r="S21" s="63">
        <f>(IF(AND(O21=O$14,$L$13&gt;2),1,0))*IF($L$13=3,2,1)</f>
        <v>0</v>
      </c>
    </row>
    <row r="22" spans="1:19" s="62" customFormat="1" ht="12.75" hidden="1">
      <c r="A22" s="88"/>
      <c r="B22" s="88"/>
      <c r="C22" s="88"/>
      <c r="D22" s="88"/>
      <c r="E22" s="88"/>
      <c r="F22" s="88"/>
      <c r="G22" s="88"/>
      <c r="H22" s="88"/>
      <c r="I22" s="88"/>
      <c r="J22" s="88"/>
      <c r="K22" s="88"/>
      <c r="N22" s="61"/>
      <c r="S22" s="63"/>
    </row>
    <row r="23" spans="1:19" s="62" customFormat="1" ht="19.5" customHeight="1" hidden="1">
      <c r="A23" s="88"/>
      <c r="B23" s="89" t="s">
        <v>47</v>
      </c>
      <c r="C23" s="90" t="s">
        <v>124</v>
      </c>
      <c r="D23" s="91" t="str">
        <f>Tablier!G54&amp;" m"</f>
        <v> m</v>
      </c>
      <c r="E23" s="88"/>
      <c r="F23" s="88"/>
      <c r="G23" s="88"/>
      <c r="H23" s="88"/>
      <c r="I23" s="88"/>
      <c r="J23" s="88"/>
      <c r="K23" s="88"/>
      <c r="L23" s="36">
        <v>2</v>
      </c>
      <c r="M23" s="72">
        <v>2</v>
      </c>
      <c r="N23" s="61">
        <f>IF($L$13&gt;3,L23,"")</f>
      </c>
      <c r="O23" s="62">
        <f>IF($L$13&gt;3,M23,"")</f>
      </c>
      <c r="P23" s="62">
        <f>IF(AND(N23=N$14,$L$13&gt;4),Tablier!$G54,"")</f>
      </c>
      <c r="Q23" s="62">
        <f>IF(AND(O23=O$14,$L$13&gt;4),Tablier!$G54,"")</f>
      </c>
      <c r="R23" s="62">
        <f>(IF(AND(N23=N$14,$L$13&gt;2),1,0))*IF($L$13=4,2,1)</f>
        <v>0</v>
      </c>
      <c r="S23" s="63">
        <f>(IF(AND(O23=O$14,$L$13&gt;2),1,0))*IF($L$13=4,2,1)</f>
        <v>0</v>
      </c>
    </row>
    <row r="24" spans="1:19" s="62" customFormat="1" ht="12.75" hidden="1">
      <c r="A24" s="88"/>
      <c r="B24" s="88"/>
      <c r="C24" s="88"/>
      <c r="D24" s="88"/>
      <c r="E24" s="88"/>
      <c r="F24" s="88"/>
      <c r="G24" s="88"/>
      <c r="H24" s="88"/>
      <c r="I24" s="88"/>
      <c r="J24" s="88"/>
      <c r="K24" s="88"/>
      <c r="N24" s="61"/>
      <c r="S24" s="63"/>
    </row>
    <row r="25" spans="1:19" s="62" customFormat="1" ht="19.5" customHeight="1" hidden="1">
      <c r="A25" s="88"/>
      <c r="B25" s="89" t="s">
        <v>48</v>
      </c>
      <c r="C25" s="90" t="s">
        <v>125</v>
      </c>
      <c r="D25" s="91" t="str">
        <f>Tablier!G56&amp;" m"</f>
        <v> m</v>
      </c>
      <c r="E25" s="88"/>
      <c r="F25" s="88"/>
      <c r="G25" s="88"/>
      <c r="H25" s="88"/>
      <c r="I25" s="88"/>
      <c r="J25" s="88"/>
      <c r="K25" s="88"/>
      <c r="L25" s="36">
        <v>0</v>
      </c>
      <c r="M25" s="72">
        <v>0</v>
      </c>
      <c r="N25" s="61">
        <f>IF($L$13&gt;4,L25,"")</f>
      </c>
      <c r="O25" s="62">
        <f>IF($L$13&gt;4,M25,"")</f>
      </c>
      <c r="P25" s="62">
        <f>IF(AND(N25=N$14,$L$13&gt;5),Tablier!$G56,"")</f>
      </c>
      <c r="Q25" s="62">
        <f>IF(AND(O25=O$14,$L$13&gt;5),Tablier!$G56,"")</f>
      </c>
      <c r="R25" s="62">
        <f>(IF(AND(N25=N$14,$L$13&gt;2),1,0))*IF($L$13=5,2,1)</f>
        <v>0</v>
      </c>
      <c r="S25" s="63">
        <f>(IF(AND(O25=O$14,$L$13&gt;2),1,0))*IF($L$13=5,2,1)</f>
        <v>0</v>
      </c>
    </row>
    <row r="26" spans="2:19" ht="12.75" hidden="1">
      <c r="B26" s="88"/>
      <c r="C26" s="88"/>
      <c r="D26" s="88"/>
      <c r="N26" s="61"/>
      <c r="O26" s="62"/>
      <c r="P26" s="62"/>
      <c r="Q26" s="62"/>
      <c r="R26" s="62"/>
      <c r="S26" s="63"/>
    </row>
    <row r="27" spans="2:19" ht="19.5" customHeight="1" hidden="1">
      <c r="B27" s="89" t="s">
        <v>49</v>
      </c>
      <c r="C27" s="90" t="s">
        <v>126</v>
      </c>
      <c r="D27" s="91" t="str">
        <f>Tablier!G58&amp;" m"</f>
        <v> m</v>
      </c>
      <c r="L27" s="36">
        <v>0</v>
      </c>
      <c r="M27" s="72">
        <v>0</v>
      </c>
      <c r="N27" s="61">
        <f>IF($L$13&gt;5,L27,"")</f>
      </c>
      <c r="O27" s="62">
        <f>IF($L$13&gt;5,M27,"")</f>
      </c>
      <c r="P27" s="62">
        <f>IF(AND(N27=N$14,$L$13&gt;6),Tablier!$G58,"")</f>
      </c>
      <c r="Q27" s="62">
        <f>IF(AND(O27=O$14,$L$13&gt;6),Tablier!$G58,"")</f>
      </c>
      <c r="R27" s="62">
        <f>(IF(AND(N27=N$14,$L$13&gt;2),1,0))*IF($L$13=6,2,1)</f>
        <v>0</v>
      </c>
      <c r="S27" s="63">
        <f>(IF(AND(O27=O$14,$L$13&gt;2),1,0))*IF($L$13=6,2,1)</f>
        <v>0</v>
      </c>
    </row>
    <row r="28" spans="2:19" ht="12.75" hidden="1">
      <c r="B28" s="88"/>
      <c r="N28" s="61"/>
      <c r="O28" s="62"/>
      <c r="P28" s="62"/>
      <c r="Q28" s="62"/>
      <c r="R28" s="62"/>
      <c r="S28" s="63"/>
    </row>
    <row r="29" spans="2:19" ht="19.5" customHeight="1" hidden="1">
      <c r="B29" s="89" t="s">
        <v>50</v>
      </c>
      <c r="C29" s="90" t="s">
        <v>127</v>
      </c>
      <c r="D29" s="91" t="str">
        <f>Tablier!G60&amp;" m"</f>
        <v> m</v>
      </c>
      <c r="L29" s="36">
        <v>0</v>
      </c>
      <c r="M29" s="72">
        <v>0</v>
      </c>
      <c r="N29" s="61">
        <f>IF($L$13&gt;6,L29,"")</f>
      </c>
      <c r="O29" s="62">
        <f>IF($L$13&gt;6,M29,"")</f>
      </c>
      <c r="P29" s="62">
        <f>IF(AND(N29=N$14,$L$13&gt;7),Tablier!$G60,"")</f>
      </c>
      <c r="Q29" s="62">
        <f>IF(AND(O29=O$14,$L$13&gt;7),Tablier!$G60,"")</f>
      </c>
      <c r="R29" s="62">
        <f>(IF(AND(N29=N$14,$L$13&gt;2),1,0))*IF($L$13=7,2,1)</f>
        <v>0</v>
      </c>
      <c r="S29" s="63">
        <f>(IF(AND(O29=O$14,$L$13&gt;2),1,0))*IF($L$13=7,2,1)</f>
        <v>0</v>
      </c>
    </row>
    <row r="30" spans="2:19" ht="12.75" hidden="1">
      <c r="B30" s="88"/>
      <c r="C30" s="88"/>
      <c r="D30" s="88"/>
      <c r="N30" s="61"/>
      <c r="O30" s="62"/>
      <c r="P30" s="62"/>
      <c r="Q30" s="62"/>
      <c r="R30" s="62"/>
      <c r="S30" s="63"/>
    </row>
    <row r="31" spans="2:19" ht="19.5" customHeight="1" hidden="1">
      <c r="B31" s="89" t="s">
        <v>51</v>
      </c>
      <c r="C31" s="90" t="s">
        <v>128</v>
      </c>
      <c r="D31" s="91" t="str">
        <f>Tablier!G62&amp;" m"</f>
        <v> m</v>
      </c>
      <c r="L31" s="36">
        <v>0</v>
      </c>
      <c r="M31" s="72">
        <v>0</v>
      </c>
      <c r="N31" s="61">
        <f>IF($L$13&gt;7,L31,"")</f>
      </c>
      <c r="O31" s="62">
        <f>IF($L$13&gt;7,M31,"")</f>
      </c>
      <c r="P31" s="62">
        <f>IF(AND(N31=N$14,$L$13&gt;8),Tablier!$G62,"")</f>
      </c>
      <c r="Q31" s="62">
        <f>IF(AND(O31=O$14,$L$13&gt;8),Tablier!$G62,"")</f>
      </c>
      <c r="R31" s="62">
        <f>(IF(AND(N31=N$14,$L$13&gt;2),1,0))*IF($L$13=8,2,1)</f>
        <v>0</v>
      </c>
      <c r="S31" s="63">
        <f>(IF(AND(O31=O$14,$L$13&gt;2),1,0))*IF($L$13=8,2,1)</f>
        <v>0</v>
      </c>
    </row>
    <row r="32" spans="2:19" ht="12.75" hidden="1">
      <c r="B32" s="88"/>
      <c r="N32" s="61"/>
      <c r="O32" s="62"/>
      <c r="P32" s="62"/>
      <c r="Q32" s="62"/>
      <c r="R32" s="62"/>
      <c r="S32" s="63"/>
    </row>
    <row r="33" spans="1:19" s="62" customFormat="1" ht="19.5" customHeight="1" hidden="1">
      <c r="A33" s="88"/>
      <c r="B33" s="89" t="s">
        <v>52</v>
      </c>
      <c r="C33" s="90" t="s">
        <v>129</v>
      </c>
      <c r="D33" s="91" t="str">
        <f>Tablier!G64&amp;" m"</f>
        <v> m</v>
      </c>
      <c r="E33" s="88"/>
      <c r="F33" s="88"/>
      <c r="G33" s="88"/>
      <c r="H33" s="88"/>
      <c r="I33" s="88"/>
      <c r="J33" s="88"/>
      <c r="K33" s="88"/>
      <c r="L33" s="36">
        <v>0</v>
      </c>
      <c r="M33" s="72">
        <v>0</v>
      </c>
      <c r="N33" s="61">
        <f>IF($L$13&gt;8,L33,"")</f>
      </c>
      <c r="O33" s="62">
        <f>IF($L$13&gt;8,M33,"")</f>
      </c>
      <c r="P33" s="62">
        <f>IF(AND(N33=N$14,$L$13&gt;9),Tablier!$G64,"")</f>
      </c>
      <c r="Q33" s="62">
        <f>IF(AND(O33=O$14,$L$13&gt;9),Tablier!$G64,"")</f>
      </c>
      <c r="R33" s="62">
        <f>(IF(AND(N33=N$14,$L$13&gt;2),1,0))*IF($L$13=9,2,1)</f>
        <v>0</v>
      </c>
      <c r="S33" s="63">
        <f>(IF(AND(O33=O$14,$L$13&gt;2),1,0))*IF($L$13=9,2,1)</f>
        <v>0</v>
      </c>
    </row>
    <row r="34" spans="2:19" ht="12.75" hidden="1">
      <c r="B34" s="88"/>
      <c r="C34" s="88"/>
      <c r="D34" s="88"/>
      <c r="N34" s="61"/>
      <c r="O34" s="62"/>
      <c r="P34" s="62"/>
      <c r="Q34" s="62"/>
      <c r="R34" s="62"/>
      <c r="S34" s="63"/>
    </row>
    <row r="35" spans="2:19" ht="19.5" customHeight="1" hidden="1">
      <c r="B35" s="89" t="s">
        <v>53</v>
      </c>
      <c r="C35" s="90" t="s">
        <v>130</v>
      </c>
      <c r="D35" s="91" t="str">
        <f>Tablier!G66&amp;" m"</f>
        <v> m</v>
      </c>
      <c r="L35" s="36">
        <v>0</v>
      </c>
      <c r="M35" s="72">
        <v>0</v>
      </c>
      <c r="N35" s="61">
        <f>IF($L$13&gt;9,L35,"")</f>
      </c>
      <c r="O35" s="62">
        <f>IF($L$13&gt;9,M35,"")</f>
      </c>
      <c r="P35" s="62">
        <f>IF(AND(N35=N$14,$L$13&gt;10),Tablier!$G66,"")</f>
      </c>
      <c r="Q35" s="62">
        <f>IF(AND(O35=O$14,$L$13&gt;10),Tablier!$G66,"")</f>
      </c>
      <c r="R35" s="62">
        <f>(IF(AND(N35=N$14,$L$13&gt;2),1,0))*IF($L$13=10,2,1)</f>
        <v>0</v>
      </c>
      <c r="S35" s="63">
        <f>(IF(AND(O35=O$14,$L$13&gt;2),1,0))*IF($L$13=10,2,1)</f>
        <v>0</v>
      </c>
    </row>
    <row r="36" spans="2:19" ht="12.75" hidden="1">
      <c r="B36" s="88"/>
      <c r="N36" s="61"/>
      <c r="O36" s="62"/>
      <c r="P36" s="62"/>
      <c r="Q36" s="62"/>
      <c r="R36" s="62"/>
      <c r="S36" s="63"/>
    </row>
    <row r="37" spans="2:19" ht="19.5" customHeight="1" hidden="1">
      <c r="B37" s="89" t="s">
        <v>54</v>
      </c>
      <c r="C37" s="90" t="s">
        <v>131</v>
      </c>
      <c r="D37" s="91" t="str">
        <f>Tablier!G68&amp;" m"</f>
        <v> m</v>
      </c>
      <c r="L37" s="36">
        <v>0</v>
      </c>
      <c r="M37" s="72">
        <v>0</v>
      </c>
      <c r="N37" s="61">
        <f>IF($L$13&gt;10,L37,"")</f>
      </c>
      <c r="O37" s="62">
        <f>IF($L$13&gt;10,M37,"")</f>
      </c>
      <c r="P37" s="62">
        <f>IF(AND(N37=N$14,$L$13&gt;11),Tablier!$G68,"")</f>
      </c>
      <c r="Q37" s="62">
        <f>IF(AND(O37=O$14,$L$13&gt;11),Tablier!$G68,"")</f>
      </c>
      <c r="R37" s="62">
        <f>(IF(AND(N37=N$14,$L$13&gt;2),1,0))*IF($L$13=11,2,1)</f>
        <v>0</v>
      </c>
      <c r="S37" s="63">
        <f>(IF(AND(O37=O$14,$L$13&gt;2),1,0))*IF($L$13=11,2,1)</f>
        <v>0</v>
      </c>
    </row>
    <row r="38" spans="2:19" ht="12.75" hidden="1">
      <c r="B38" s="88"/>
      <c r="C38" s="88"/>
      <c r="D38" s="88"/>
      <c r="N38" s="61"/>
      <c r="O38" s="62"/>
      <c r="P38" s="62"/>
      <c r="Q38" s="62"/>
      <c r="R38" s="62"/>
      <c r="S38" s="63"/>
    </row>
    <row r="39" spans="2:19" ht="19.5" customHeight="1" hidden="1">
      <c r="B39" s="89" t="s">
        <v>55</v>
      </c>
      <c r="C39" s="90" t="s">
        <v>132</v>
      </c>
      <c r="D39" s="91" t="str">
        <f>Tablier!G70&amp;" m"</f>
        <v>0 m</v>
      </c>
      <c r="L39" s="36">
        <v>0</v>
      </c>
      <c r="M39" s="72">
        <v>0</v>
      </c>
      <c r="N39" s="64">
        <f>IF($L$13&gt;11,L39,"")</f>
      </c>
      <c r="O39" s="65">
        <f>IF($L$13&gt;11,M39,"")</f>
      </c>
      <c r="P39" s="65"/>
      <c r="Q39" s="65"/>
      <c r="R39" s="65">
        <f>(IF(AND(N39=N$14,$L$13&gt;2),2,0))</f>
        <v>0</v>
      </c>
      <c r="S39" s="66">
        <f>(IF(AND(O39=O$14,$L$13&gt;2),2,0))</f>
        <v>0</v>
      </c>
    </row>
    <row r="40" ht="12.75" hidden="1"/>
    <row r="42" spans="1:12" ht="12.75">
      <c r="A42" s="3" t="s">
        <v>133</v>
      </c>
      <c r="L42" s="34">
        <v>2</v>
      </c>
    </row>
    <row r="43" spans="12:20" ht="12.75">
      <c r="L43" s="58" t="s">
        <v>85</v>
      </c>
      <c r="M43" s="59"/>
      <c r="N43" s="59"/>
      <c r="O43" s="58">
        <f>IF(L42=2,0.3,"")</f>
        <v>0.3</v>
      </c>
      <c r="P43" s="59">
        <f>IF(L42=3,0.3,O43)</f>
        <v>0.3</v>
      </c>
      <c r="Q43" s="59">
        <f>IF(L42=4,0.5,P43)</f>
        <v>0.3</v>
      </c>
      <c r="R43" s="60">
        <f>IF(L42=5,0.6,Q43)</f>
        <v>0.3</v>
      </c>
      <c r="S43" s="132">
        <f>IF(L42=6,0.9,R43)</f>
        <v>0.3</v>
      </c>
      <c r="T43" s="2" t="s">
        <v>150</v>
      </c>
    </row>
    <row r="44" spans="2:20" ht="12.75">
      <c r="B44" s="7" t="s">
        <v>138</v>
      </c>
      <c r="L44" s="61" t="s">
        <v>136</v>
      </c>
      <c r="M44" s="62"/>
      <c r="N44" s="62"/>
      <c r="O44" s="64">
        <f>IF(L42=2,0.3,"")</f>
        <v>0.3</v>
      </c>
      <c r="P44" s="65">
        <f>IF(L42=3,0.3,O44)</f>
        <v>0.3</v>
      </c>
      <c r="Q44" s="65">
        <f>IF(L42=4,0.3,P44)</f>
        <v>0.3</v>
      </c>
      <c r="R44" s="66">
        <f>IF(L42=5,0.6,Q44)</f>
        <v>0.3</v>
      </c>
      <c r="S44" s="132">
        <f>IF(L42=6,0.9,R44)</f>
        <v>0.3</v>
      </c>
      <c r="T44" s="2" t="s">
        <v>143</v>
      </c>
    </row>
    <row r="45" spans="12:14" ht="12.75">
      <c r="L45" s="61" t="s">
        <v>217</v>
      </c>
      <c r="M45" s="62"/>
      <c r="N45" s="63"/>
    </row>
    <row r="46" spans="12:14" ht="12.75">
      <c r="L46" s="61" t="s">
        <v>134</v>
      </c>
      <c r="M46" s="62"/>
      <c r="N46" s="63"/>
    </row>
    <row r="47" spans="12:14" ht="12.75">
      <c r="L47" s="61" t="s">
        <v>135</v>
      </c>
      <c r="M47" s="62"/>
      <c r="N47" s="63"/>
    </row>
    <row r="48" spans="12:14" ht="12.75">
      <c r="L48" s="61" t="s">
        <v>137</v>
      </c>
      <c r="M48" s="65"/>
      <c r="N48" s="66"/>
    </row>
    <row r="49" spans="2:12" ht="12.75">
      <c r="B49" s="7" t="s">
        <v>141</v>
      </c>
      <c r="L49" s="133">
        <v>2</v>
      </c>
    </row>
    <row r="50" spans="12:16" ht="12.75">
      <c r="L50" s="58" t="s">
        <v>85</v>
      </c>
      <c r="M50" s="60"/>
      <c r="N50" s="93">
        <f>IF(L49=2,0.8,"")</f>
        <v>0.8</v>
      </c>
      <c r="O50" s="56">
        <f>IF(L49=3,1,N50)</f>
        <v>0.8</v>
      </c>
      <c r="P50" s="2" t="s">
        <v>142</v>
      </c>
    </row>
    <row r="51" spans="12:13" ht="12.75">
      <c r="L51" s="61" t="s">
        <v>140</v>
      </c>
      <c r="M51" s="63"/>
    </row>
    <row r="52" spans="12:13" ht="12.75">
      <c r="L52" s="64" t="s">
        <v>139</v>
      </c>
      <c r="M52" s="66"/>
    </row>
    <row r="53" ht="12.75"/>
    <row r="54" spans="12:14" ht="13.5" thickBot="1">
      <c r="L54" s="93">
        <f>IF(N14=2,0.7,0)</f>
        <v>0.7</v>
      </c>
      <c r="M54" s="56">
        <f>IF(N14=1,1,L54)</f>
        <v>0.7</v>
      </c>
      <c r="N54" s="2" t="s">
        <v>151</v>
      </c>
    </row>
    <row r="55" spans="10:14" ht="19.5" customHeight="1" thickBot="1">
      <c r="J55" s="165" t="s">
        <v>261</v>
      </c>
      <c r="K55" s="166">
        <f>IF(M55="","",MIN(1,S43*M54*M55))</f>
        <v>0</v>
      </c>
      <c r="L55" s="71">
        <f>IF(OR(,L42=1,L49=1),"",0)</f>
        <v>0</v>
      </c>
      <c r="M55" s="97">
        <f>IF(OR(P10="",L42=1,L49=1),L55,O50*(1+2*(1-R10)^2)*(1+2*(P10-1)^2))</f>
        <v>0</v>
      </c>
      <c r="N55" s="2" t="s">
        <v>149</v>
      </c>
    </row>
    <row r="56" ht="6" customHeight="1"/>
    <row r="57" spans="12:14" ht="12.75" customHeight="1" thickBot="1">
      <c r="L57" s="93">
        <f>IF(O14=2,0.7,0)</f>
        <v>0.7</v>
      </c>
      <c r="M57" s="56">
        <f>IF(O14=1,1,L57)</f>
        <v>0.7</v>
      </c>
      <c r="N57" s="2" t="s">
        <v>215</v>
      </c>
    </row>
    <row r="58" spans="10:14" ht="19.5" customHeight="1" thickBot="1">
      <c r="J58" s="165" t="s">
        <v>262</v>
      </c>
      <c r="K58" s="166">
        <f>IF(M58="","",MIN(1,S44*M57*M58))</f>
        <v>0</v>
      </c>
      <c r="L58" s="71">
        <f>IF(OR(,L42=1,L49=1),"",0)</f>
        <v>0</v>
      </c>
      <c r="M58" s="97">
        <f>IF(OR(Q10="",L42=1,L49=1),L58,O50*(1+2*(1-S10)^2)*(1+(Q10-1)^2/2))</f>
        <v>0</v>
      </c>
      <c r="N58" s="2" t="s">
        <v>216</v>
      </c>
    </row>
    <row r="60" ht="13.5" thickBot="1"/>
    <row r="61" spans="9:11" ht="24.75" customHeight="1" thickBot="1" thickTop="1">
      <c r="I61" s="393" t="s">
        <v>163</v>
      </c>
      <c r="J61" s="394"/>
      <c r="K61" s="162">
        <f>Résumé!C16</f>
        <v>0</v>
      </c>
    </row>
    <row r="62" ht="13.5" thickTop="1"/>
  </sheetData>
  <sheetProtection password="EECD" sheet="1" objects="1" scenarios="1"/>
  <mergeCells count="2">
    <mergeCell ref="I61:J61"/>
    <mergeCell ref="K1:K2"/>
  </mergeCells>
  <printOptions/>
  <pageMargins left="0.7874015748031497" right="0.7874015748031497" top="0.7874015748031497" bottom="0.7874015748031497" header="0.5118110236220472" footer="0.5118110236220472"/>
  <pageSetup horizontalDpi="600" verticalDpi="600" orientation="portrait" paperSize="9" r:id="rId3"/>
  <rowBreaks count="1" manualBreakCount="1">
    <brk id="40"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Feuil7"/>
  <dimension ref="A1:X104"/>
  <sheetViews>
    <sheetView workbookViewId="0" topLeftCell="A1">
      <pane ySplit="2" topLeftCell="BM3" activePane="bottomLeft" state="frozen"/>
      <selection pane="topLeft" activeCell="A1" sqref="A1"/>
      <selection pane="bottomLeft" activeCell="H20" sqref="H20"/>
    </sheetView>
  </sheetViews>
  <sheetFormatPr defaultColWidth="11.421875" defaultRowHeight="12.75"/>
  <cols>
    <col min="1" max="1" width="10.8515625" style="37" customWidth="1"/>
    <col min="2" max="2" width="7.8515625" style="37" customWidth="1"/>
    <col min="3" max="3" width="8.00390625" style="37" customWidth="1"/>
    <col min="4" max="4" width="7.00390625" style="37" customWidth="1"/>
    <col min="5" max="5" width="8.00390625" style="37" customWidth="1"/>
    <col min="6" max="6" width="7.28125" style="37" customWidth="1"/>
    <col min="7" max="7" width="5.421875" style="37" customWidth="1"/>
    <col min="8" max="8" width="7.00390625" style="37" customWidth="1"/>
    <col min="9" max="10" width="7.7109375" style="37" customWidth="1"/>
    <col min="11" max="11" width="9.421875" style="37" customWidth="1"/>
    <col min="12" max="17" width="7.8515625" style="2" hidden="1" customWidth="1"/>
    <col min="18" max="18" width="19.7109375" style="2" hidden="1" customWidth="1"/>
    <col min="19" max="19" width="7.8515625" style="2" hidden="1" customWidth="1"/>
    <col min="20" max="20" width="11.28125" style="2" hidden="1" customWidth="1"/>
    <col min="21" max="21" width="13.8515625" style="2" hidden="1" customWidth="1"/>
    <col min="22" max="22" width="10.8515625" style="2" hidden="1" customWidth="1"/>
    <col min="23" max="23" width="11.28125" style="2" hidden="1" customWidth="1"/>
    <col min="24" max="24" width="7.8515625" style="2" hidden="1" customWidth="1"/>
    <col min="25" max="25" width="19.140625" style="2" customWidth="1"/>
    <col min="26" max="16384" width="7.8515625" style="2" customWidth="1"/>
  </cols>
  <sheetData>
    <row r="1" spans="1:17" s="134" customFormat="1" ht="19.5" customHeight="1" thickTop="1">
      <c r="A1" s="151" t="s">
        <v>218</v>
      </c>
      <c r="B1" s="151" t="s">
        <v>275</v>
      </c>
      <c r="C1" s="151" t="s">
        <v>219</v>
      </c>
      <c r="D1" s="151" t="s">
        <v>220</v>
      </c>
      <c r="E1" s="151" t="s">
        <v>221</v>
      </c>
      <c r="F1" s="241" t="s">
        <v>331</v>
      </c>
      <c r="G1" s="150"/>
      <c r="H1" s="242" t="s">
        <v>332</v>
      </c>
      <c r="I1" s="241" t="s">
        <v>333</v>
      </c>
      <c r="J1" s="242" t="s">
        <v>334</v>
      </c>
      <c r="K1" s="368"/>
      <c r="L1" s="135"/>
      <c r="M1" s="135"/>
      <c r="N1" s="135"/>
      <c r="O1" s="135"/>
      <c r="P1" s="135"/>
      <c r="Q1" s="135"/>
    </row>
    <row r="2" spans="1:13" s="137" customFormat="1" ht="24.75" customHeight="1" thickBot="1">
      <c r="A2" s="153">
        <f>Résumé!$C$5</f>
      </c>
      <c r="B2" s="153" t="str">
        <f>Résumé!$W$24</f>
        <v>-</v>
      </c>
      <c r="C2" s="153">
        <f>Résumé!$W$15</f>
      </c>
      <c r="D2" s="153">
        <f>Résumé!$W$18</f>
      </c>
      <c r="E2" s="153">
        <f>IF(OR(Général!$L$91=2,Général!$L$91=5,Général!$G$100=1)," -",IF(Résumé!$C$16="","",Résumé!$C$16))</f>
        <v>0</v>
      </c>
      <c r="F2" s="243" t="e">
        <f>Général!$N$120</f>
        <v>#VALUE!</v>
      </c>
      <c r="G2" s="152"/>
      <c r="H2" s="243">
        <f>Env!$K$19</f>
        <v>1</v>
      </c>
      <c r="I2" s="243">
        <f>Env!$K$23</f>
        <v>1</v>
      </c>
      <c r="J2" s="244">
        <f>Env!$K$86</f>
        <v>0.7</v>
      </c>
      <c r="K2" s="369"/>
      <c r="L2" s="136"/>
      <c r="M2" s="136"/>
    </row>
    <row r="3" ht="13.5" thickTop="1">
      <c r="A3" s="3" t="s">
        <v>336</v>
      </c>
    </row>
    <row r="4" ht="6" customHeight="1"/>
    <row r="5" ht="12.75">
      <c r="A5" s="3" t="s">
        <v>159</v>
      </c>
    </row>
    <row r="6" ht="12.75"/>
    <row r="7" spans="12:18" ht="12.75">
      <c r="L7" s="34">
        <v>2</v>
      </c>
      <c r="R7" s="2" t="s">
        <v>299</v>
      </c>
    </row>
    <row r="8" spans="12:20" ht="12.75">
      <c r="L8" s="58" t="s">
        <v>85</v>
      </c>
      <c r="M8" s="59"/>
      <c r="N8" s="59"/>
      <c r="O8" s="60"/>
      <c r="R8" s="58" t="s">
        <v>85</v>
      </c>
      <c r="S8" s="59"/>
      <c r="T8" s="38">
        <f>""</f>
      </c>
    </row>
    <row r="9" spans="12:20" ht="12.75">
      <c r="L9" s="61" t="s">
        <v>160</v>
      </c>
      <c r="M9" s="62"/>
      <c r="N9" s="62"/>
      <c r="O9" s="63"/>
      <c r="R9" s="61" t="s">
        <v>160</v>
      </c>
      <c r="S9" s="62"/>
      <c r="T9" s="279">
        <v>1</v>
      </c>
    </row>
    <row r="10" spans="12:20" ht="12.75">
      <c r="L10" s="61" t="s">
        <v>162</v>
      </c>
      <c r="M10" s="62"/>
      <c r="N10" s="62"/>
      <c r="O10" s="63"/>
      <c r="R10" s="61" t="s">
        <v>162</v>
      </c>
      <c r="S10" s="62"/>
      <c r="T10" s="279">
        <v>0.5</v>
      </c>
    </row>
    <row r="11" spans="12:20" ht="12.75">
      <c r="L11" s="64" t="s">
        <v>161</v>
      </c>
      <c r="M11" s="65"/>
      <c r="N11" s="65"/>
      <c r="O11" s="66"/>
      <c r="R11" s="64" t="s">
        <v>161</v>
      </c>
      <c r="S11" s="65"/>
      <c r="T11" s="281">
        <v>0.1</v>
      </c>
    </row>
    <row r="12" ht="12.75">
      <c r="T12" s="233">
        <f>INDEX(T8:T11,L7)</f>
        <v>1</v>
      </c>
    </row>
    <row r="13" spans="12:15" ht="12.75">
      <c r="L13" s="44"/>
      <c r="M13" s="44"/>
      <c r="N13" s="44"/>
      <c r="O13" s="44"/>
    </row>
    <row r="14" spans="8:22" ht="12.75" hidden="1">
      <c r="H14" s="42"/>
      <c r="I14" s="42"/>
      <c r="J14" s="42"/>
      <c r="K14" s="42"/>
      <c r="L14" s="44"/>
      <c r="M14" s="44"/>
      <c r="N14" s="44"/>
      <c r="O14" s="44"/>
      <c r="R14" s="2" t="s">
        <v>300</v>
      </c>
      <c r="U14" s="2" t="s">
        <v>364</v>
      </c>
      <c r="V14" s="2" t="s">
        <v>365</v>
      </c>
    </row>
    <row r="15" spans="8:22" ht="12.75" hidden="1">
      <c r="H15" s="42"/>
      <c r="I15" s="42"/>
      <c r="J15" s="42"/>
      <c r="K15" s="42"/>
      <c r="L15" s="44"/>
      <c r="M15" s="246"/>
      <c r="N15" s="44"/>
      <c r="O15" s="44"/>
      <c r="R15" s="58" t="s">
        <v>85</v>
      </c>
      <c r="S15" s="59"/>
      <c r="T15" s="38">
        <f>""</f>
      </c>
      <c r="U15" s="38"/>
      <c r="V15" s="60"/>
    </row>
    <row r="16" spans="8:22" ht="12.75" hidden="1">
      <c r="H16" s="42"/>
      <c r="I16" s="42"/>
      <c r="J16" s="42"/>
      <c r="K16" s="42"/>
      <c r="L16" s="247"/>
      <c r="M16" s="245" t="b">
        <v>0</v>
      </c>
      <c r="N16" s="274">
        <f>M16+1</f>
        <v>1</v>
      </c>
      <c r="O16" s="44"/>
      <c r="R16" s="61" t="s">
        <v>160</v>
      </c>
      <c r="S16" s="62"/>
      <c r="T16" s="279">
        <v>1</v>
      </c>
      <c r="U16" s="39"/>
      <c r="V16" s="63"/>
    </row>
    <row r="17" spans="8:22" ht="12.75" hidden="1">
      <c r="H17" s="42"/>
      <c r="I17" s="42"/>
      <c r="J17" s="42"/>
      <c r="K17" s="42"/>
      <c r="L17" s="44"/>
      <c r="M17" s="78"/>
      <c r="N17" s="44"/>
      <c r="O17" s="44"/>
      <c r="R17" s="61" t="s">
        <v>162</v>
      </c>
      <c r="S17" s="62"/>
      <c r="T17" s="275">
        <f>INDEX(U17:V17,N$16)</f>
        <v>0.9</v>
      </c>
      <c r="U17" s="279">
        <v>0.9</v>
      </c>
      <c r="V17" s="287">
        <v>0.7</v>
      </c>
    </row>
    <row r="18" spans="1:22" ht="13.5" thickBot="1">
      <c r="A18" s="3" t="s">
        <v>303</v>
      </c>
      <c r="L18" s="44"/>
      <c r="M18" s="44"/>
      <c r="N18" s="44"/>
      <c r="O18" s="44"/>
      <c r="R18" s="64" t="s">
        <v>161</v>
      </c>
      <c r="S18" s="65"/>
      <c r="T18" s="229">
        <f>INDEX(U18:V18,N$16)</f>
        <v>0.8</v>
      </c>
      <c r="U18" s="281">
        <v>0.8</v>
      </c>
      <c r="V18" s="288">
        <v>0.6</v>
      </c>
    </row>
    <row r="19" spans="1:20" ht="19.5" customHeight="1" thickBot="1" thickTop="1">
      <c r="A19" s="3"/>
      <c r="J19" s="234" t="s">
        <v>301</v>
      </c>
      <c r="K19" s="235">
        <f>$T$12</f>
        <v>1</v>
      </c>
      <c r="L19" s="44"/>
      <c r="M19" s="44"/>
      <c r="N19" s="44"/>
      <c r="O19" s="44"/>
      <c r="T19" s="233">
        <f>INDEX(T15:T18,L7)</f>
        <v>1</v>
      </c>
    </row>
    <row r="20" ht="13.5" thickTop="1">
      <c r="A20" s="3"/>
    </row>
    <row r="21" ht="12.75">
      <c r="A21" s="3"/>
    </row>
    <row r="22" ht="13.5" thickBot="1">
      <c r="A22" s="3" t="s">
        <v>304</v>
      </c>
    </row>
    <row r="23" spans="1:11" ht="19.5" customHeight="1" thickBot="1" thickTop="1">
      <c r="A23" s="231"/>
      <c r="B23" s="232"/>
      <c r="C23" s="232"/>
      <c r="D23" s="231"/>
      <c r="E23" s="232"/>
      <c r="F23" s="232"/>
      <c r="J23" s="234" t="s">
        <v>302</v>
      </c>
      <c r="K23" s="235">
        <f>$T$19</f>
        <v>1</v>
      </c>
    </row>
    <row r="24" ht="13.5" thickTop="1"/>
    <row r="25" ht="12.75">
      <c r="A25" s="3" t="s">
        <v>305</v>
      </c>
    </row>
    <row r="26" ht="12.75">
      <c r="A26" s="3"/>
    </row>
    <row r="27" ht="12.75">
      <c r="A27" s="3"/>
    </row>
    <row r="28" ht="12.75">
      <c r="A28" s="3"/>
    </row>
    <row r="29" ht="12.75">
      <c r="A29" s="3"/>
    </row>
    <row r="30" ht="12.75">
      <c r="A30" s="3"/>
    </row>
    <row r="31" spans="1:22" ht="12.75">
      <c r="A31" s="3"/>
      <c r="R31" s="2" t="s">
        <v>310</v>
      </c>
      <c r="T31" s="2" t="s">
        <v>311</v>
      </c>
      <c r="U31" s="2" t="s">
        <v>317</v>
      </c>
      <c r="V31" s="2" t="s">
        <v>316</v>
      </c>
    </row>
    <row r="32" spans="18:24" ht="12.75">
      <c r="R32" s="58" t="s">
        <v>313</v>
      </c>
      <c r="S32" s="249">
        <v>1</v>
      </c>
      <c r="T32" s="277">
        <v>1</v>
      </c>
      <c r="U32" s="277">
        <v>1</v>
      </c>
      <c r="V32" s="278">
        <v>1</v>
      </c>
      <c r="W32" s="58">
        <f aca="true" t="shared" si="0" ref="W32:W37">INDEX(S32:V32,L$43)</f>
        <v>1</v>
      </c>
      <c r="X32" s="61"/>
    </row>
    <row r="33" spans="18:24" ht="12.75">
      <c r="R33" s="61" t="s">
        <v>306</v>
      </c>
      <c r="S33" s="280" t="s">
        <v>496</v>
      </c>
      <c r="T33" s="279">
        <v>1</v>
      </c>
      <c r="U33" s="279">
        <v>0.8</v>
      </c>
      <c r="V33" s="280">
        <v>0.6</v>
      </c>
      <c r="W33" s="61">
        <f t="shared" si="0"/>
        <v>1</v>
      </c>
      <c r="X33" s="61"/>
    </row>
    <row r="34" spans="12:24" ht="12.75">
      <c r="L34" s="34">
        <v>2</v>
      </c>
      <c r="R34" s="61" t="s">
        <v>307</v>
      </c>
      <c r="S34" s="280" t="s">
        <v>496</v>
      </c>
      <c r="T34" s="279">
        <v>1</v>
      </c>
      <c r="U34" s="279">
        <v>0.6</v>
      </c>
      <c r="V34" s="280">
        <v>0.4</v>
      </c>
      <c r="W34" s="61">
        <f t="shared" si="0"/>
        <v>1</v>
      </c>
      <c r="X34" s="61"/>
    </row>
    <row r="35" spans="2:24" ht="12.75">
      <c r="B35" s="7" t="s">
        <v>318</v>
      </c>
      <c r="L35" s="58" t="s">
        <v>313</v>
      </c>
      <c r="M35" s="59"/>
      <c r="N35" s="59"/>
      <c r="O35" s="60"/>
      <c r="R35" s="61" t="s">
        <v>308</v>
      </c>
      <c r="S35" s="280" t="s">
        <v>496</v>
      </c>
      <c r="T35" s="279">
        <v>1</v>
      </c>
      <c r="U35" s="279">
        <v>0.7</v>
      </c>
      <c r="V35" s="280">
        <v>0.4</v>
      </c>
      <c r="W35" s="61">
        <f t="shared" si="0"/>
        <v>1</v>
      </c>
      <c r="X35" s="61"/>
    </row>
    <row r="36" spans="12:24" ht="12.75">
      <c r="L36" s="61" t="s">
        <v>306</v>
      </c>
      <c r="M36" s="62"/>
      <c r="N36" s="62"/>
      <c r="O36" s="63"/>
      <c r="R36" s="39" t="s">
        <v>374</v>
      </c>
      <c r="S36" s="280" t="s">
        <v>496</v>
      </c>
      <c r="T36" s="279">
        <v>0.4</v>
      </c>
      <c r="U36" s="279">
        <v>0.3</v>
      </c>
      <c r="V36" s="279">
        <v>0.2</v>
      </c>
      <c r="W36" s="2">
        <f t="shared" si="0"/>
        <v>0.4</v>
      </c>
      <c r="X36" s="61"/>
    </row>
    <row r="37" spans="12:24" ht="12.75">
      <c r="L37" s="61" t="s">
        <v>307</v>
      </c>
      <c r="M37" s="62"/>
      <c r="N37" s="62"/>
      <c r="O37" s="63"/>
      <c r="R37" s="64" t="s">
        <v>309</v>
      </c>
      <c r="S37" s="280" t="s">
        <v>496</v>
      </c>
      <c r="T37" s="281">
        <v>0.4</v>
      </c>
      <c r="U37" s="281">
        <v>0.3</v>
      </c>
      <c r="V37" s="282">
        <v>0.2</v>
      </c>
      <c r="W37" s="64">
        <f t="shared" si="0"/>
        <v>0.4</v>
      </c>
      <c r="X37" s="271"/>
    </row>
    <row r="38" spans="12:24" ht="12.75">
      <c r="L38" s="61" t="s">
        <v>308</v>
      </c>
      <c r="M38" s="62"/>
      <c r="N38" s="62"/>
      <c r="O38" s="63"/>
      <c r="R38" s="59"/>
      <c r="S38" s="62"/>
      <c r="T38" s="62"/>
      <c r="U38" s="62"/>
      <c r="W38" s="276">
        <f>INDEX(W32:W37,L34)</f>
        <v>1</v>
      </c>
      <c r="X38" s="248"/>
    </row>
    <row r="39" spans="12:15" ht="12.75">
      <c r="L39" s="61" t="s">
        <v>374</v>
      </c>
      <c r="M39" s="62"/>
      <c r="N39" s="62"/>
      <c r="O39" s="63"/>
    </row>
    <row r="40" spans="12:15" ht="12.75">
      <c r="L40" s="64" t="s">
        <v>309</v>
      </c>
      <c r="M40" s="65"/>
      <c r="N40" s="65"/>
      <c r="O40" s="66"/>
    </row>
    <row r="43" ht="12.75">
      <c r="L43" s="34">
        <v>2</v>
      </c>
    </row>
    <row r="44" spans="2:15" ht="12.75">
      <c r="B44" s="7" t="s">
        <v>319</v>
      </c>
      <c r="L44" s="58" t="s">
        <v>85</v>
      </c>
      <c r="M44" s="59"/>
      <c r="N44" s="59"/>
      <c r="O44" s="60"/>
    </row>
    <row r="45" spans="12:15" ht="12.75">
      <c r="L45" s="61" t="s">
        <v>312</v>
      </c>
      <c r="M45" s="62"/>
      <c r="N45" s="62"/>
      <c r="O45" s="63"/>
    </row>
    <row r="46" spans="12:15" ht="12.75">
      <c r="L46" s="61" t="s">
        <v>314</v>
      </c>
      <c r="M46" s="62"/>
      <c r="N46" s="62"/>
      <c r="O46" s="63"/>
    </row>
    <row r="47" spans="12:15" ht="12.75">
      <c r="L47" s="61" t="s">
        <v>315</v>
      </c>
      <c r="M47" s="62"/>
      <c r="N47" s="62"/>
      <c r="O47" s="63"/>
    </row>
    <row r="48" spans="12:15" ht="12.75">
      <c r="L48" s="59"/>
      <c r="M48" s="59"/>
      <c r="N48" s="59"/>
      <c r="O48" s="59"/>
    </row>
    <row r="49" ht="13.5" thickBot="1"/>
    <row r="50" spans="5:11" ht="19.5" customHeight="1" thickBot="1">
      <c r="E50" s="37" t="s">
        <v>514</v>
      </c>
      <c r="J50" s="165" t="s">
        <v>509</v>
      </c>
      <c r="K50" s="230">
        <f>IF(W38="?","",W38)</f>
        <v>1</v>
      </c>
    </row>
    <row r="52" ht="12.75">
      <c r="S52" s="252">
        <f>Général!$L$91</f>
        <v>3</v>
      </c>
    </row>
    <row r="53" spans="18:24" ht="12.75">
      <c r="R53" s="93" t="s">
        <v>339</v>
      </c>
      <c r="S53" s="93">
        <f>""</f>
      </c>
      <c r="T53" s="248"/>
      <c r="U53" s="248"/>
      <c r="V53" s="248"/>
      <c r="W53" s="248"/>
      <c r="X53" s="248"/>
    </row>
    <row r="54" spans="18:24" ht="12.75">
      <c r="R54" s="93" t="s">
        <v>325</v>
      </c>
      <c r="S54" s="249">
        <v>0.1</v>
      </c>
      <c r="T54" s="248"/>
      <c r="U54" s="248"/>
      <c r="V54" s="248"/>
      <c r="W54" s="248"/>
      <c r="X54" s="248"/>
    </row>
    <row r="55" spans="18:24" ht="12.75">
      <c r="R55" s="93" t="s">
        <v>340</v>
      </c>
      <c r="S55" s="93">
        <f>S67</f>
        <v>0.1</v>
      </c>
      <c r="T55" s="248"/>
      <c r="U55" s="248"/>
      <c r="V55" s="248"/>
      <c r="W55" s="248"/>
      <c r="X55" s="248"/>
    </row>
    <row r="56" spans="17:24" ht="12.75" hidden="1">
      <c r="Q56" s="248"/>
      <c r="R56" s="93" t="s">
        <v>341</v>
      </c>
      <c r="S56" s="93">
        <f>S55</f>
        <v>0.1</v>
      </c>
      <c r="T56" s="248"/>
      <c r="U56" s="248"/>
      <c r="V56" s="248"/>
      <c r="W56" s="248"/>
      <c r="X56" s="248"/>
    </row>
    <row r="57" spans="12:24" ht="12.75" hidden="1">
      <c r="L57" s="34">
        <v>3</v>
      </c>
      <c r="Q57" s="248"/>
      <c r="R57" s="93" t="s">
        <v>329</v>
      </c>
      <c r="S57" s="249">
        <v>0.2</v>
      </c>
      <c r="T57" s="248"/>
      <c r="U57" s="248"/>
      <c r="V57" s="248"/>
      <c r="W57" s="248"/>
      <c r="X57" s="248"/>
    </row>
    <row r="58" spans="2:24" ht="12.75" hidden="1">
      <c r="B58" s="7" t="s">
        <v>322</v>
      </c>
      <c r="L58" s="58" t="s">
        <v>85</v>
      </c>
      <c r="M58" s="59"/>
      <c r="N58" s="59"/>
      <c r="O58" s="60"/>
      <c r="Q58" s="248"/>
      <c r="S58" s="251">
        <f>INDEX(S53:S57,S52)</f>
        <v>0.1</v>
      </c>
      <c r="T58" s="248" t="s">
        <v>372</v>
      </c>
      <c r="U58" s="248"/>
      <c r="V58" s="248"/>
      <c r="W58" s="248"/>
      <c r="X58" s="248"/>
    </row>
    <row r="59" spans="12:24" ht="12.75" hidden="1">
      <c r="L59" s="61" t="s">
        <v>337</v>
      </c>
      <c r="M59" s="62"/>
      <c r="N59" s="62"/>
      <c r="O59" s="63"/>
      <c r="Q59" s="248"/>
      <c r="T59" s="248"/>
      <c r="U59" s="248"/>
      <c r="V59" s="248"/>
      <c r="W59" s="248"/>
      <c r="X59" s="248"/>
    </row>
    <row r="60" spans="12:24" ht="12.75" hidden="1">
      <c r="L60" s="64" t="s">
        <v>338</v>
      </c>
      <c r="M60" s="65"/>
      <c r="N60" s="65"/>
      <c r="O60" s="66"/>
      <c r="Q60" s="248"/>
      <c r="S60" s="252">
        <f>Piles!L42</f>
        <v>2</v>
      </c>
      <c r="T60" s="248"/>
      <c r="U60" s="248"/>
      <c r="V60" s="248"/>
      <c r="W60" s="248"/>
      <c r="X60" s="248"/>
    </row>
    <row r="61" spans="12:24" ht="12.75" hidden="1">
      <c r="L61" s="59"/>
      <c r="M61" s="62"/>
      <c r="N61" s="62"/>
      <c r="O61" s="62"/>
      <c r="Q61" s="248"/>
      <c r="R61" s="69" t="s">
        <v>339</v>
      </c>
      <c r="S61" s="93">
        <f>""</f>
      </c>
      <c r="T61" s="248"/>
      <c r="U61" s="248"/>
      <c r="V61" s="248"/>
      <c r="W61" s="248"/>
      <c r="X61" s="248"/>
    </row>
    <row r="62" spans="12:24" ht="12.75" hidden="1">
      <c r="L62" s="34">
        <v>3</v>
      </c>
      <c r="Q62" s="248"/>
      <c r="R62" s="69" t="s">
        <v>342</v>
      </c>
      <c r="S62" s="249">
        <v>0.1</v>
      </c>
      <c r="T62" s="248"/>
      <c r="U62" s="248"/>
      <c r="V62" s="248"/>
      <c r="W62" s="248"/>
      <c r="X62" s="248"/>
    </row>
    <row r="63" spans="2:24" ht="12.75" hidden="1">
      <c r="B63" s="7" t="str">
        <f>IF(S60=4,"Epaisseur voile","Diamètre fût(s)")</f>
        <v>Diamètre fût(s)</v>
      </c>
      <c r="L63" s="58" t="s">
        <v>85</v>
      </c>
      <c r="M63" s="59"/>
      <c r="N63" s="61"/>
      <c r="Q63" s="248"/>
      <c r="R63" s="69" t="s">
        <v>324</v>
      </c>
      <c r="S63" s="249">
        <v>0.2</v>
      </c>
      <c r="T63" s="248"/>
      <c r="U63" s="248"/>
      <c r="V63" s="248"/>
      <c r="W63" s="248"/>
      <c r="X63" s="248"/>
    </row>
    <row r="64" spans="12:24" ht="12.75" hidden="1">
      <c r="L64" s="61" t="s">
        <v>320</v>
      </c>
      <c r="M64" s="62"/>
      <c r="N64" s="61"/>
      <c r="Q64" s="248"/>
      <c r="R64" s="69" t="s">
        <v>343</v>
      </c>
      <c r="S64" s="93">
        <f>S79</f>
        <v>0.2</v>
      </c>
      <c r="T64" s="248"/>
      <c r="U64" s="248"/>
      <c r="V64" s="248"/>
      <c r="W64" s="248"/>
      <c r="X64" s="248"/>
    </row>
    <row r="65" spans="12:24" ht="13.5" hidden="1" thickBot="1">
      <c r="L65" s="64" t="s">
        <v>321</v>
      </c>
      <c r="M65" s="66"/>
      <c r="N65" s="61"/>
      <c r="O65" s="62"/>
      <c r="P65" s="62"/>
      <c r="Q65" s="248"/>
      <c r="R65" s="69" t="s">
        <v>344</v>
      </c>
      <c r="S65" s="93">
        <f>S73</f>
        <v>0.3</v>
      </c>
      <c r="T65" s="248"/>
      <c r="U65" s="248"/>
      <c r="V65" s="248"/>
      <c r="W65" s="248"/>
      <c r="X65" s="248"/>
    </row>
    <row r="66" spans="2:24" ht="12.75" hidden="1">
      <c r="B66" s="236" t="s">
        <v>330</v>
      </c>
      <c r="L66" s="248"/>
      <c r="M66" s="248"/>
      <c r="N66" s="248"/>
      <c r="O66" s="248"/>
      <c r="P66" s="62"/>
      <c r="Q66" s="248"/>
      <c r="R66" s="69" t="s">
        <v>345</v>
      </c>
      <c r="S66" s="93">
        <f>S85</f>
        <v>0.4</v>
      </c>
      <c r="T66" s="248"/>
      <c r="U66" s="248"/>
      <c r="V66" s="248"/>
      <c r="W66" s="248"/>
      <c r="X66" s="248"/>
    </row>
    <row r="67" spans="2:24" ht="13.5" thickBot="1">
      <c r="B67" s="7" t="s">
        <v>326</v>
      </c>
      <c r="L67" s="248"/>
      <c r="M67" s="248"/>
      <c r="N67" s="248"/>
      <c r="O67" s="248"/>
      <c r="P67" s="62"/>
      <c r="Q67" s="248"/>
      <c r="S67" s="233">
        <f>INDEX(S61:S66,S60)</f>
        <v>0.1</v>
      </c>
      <c r="T67" s="248"/>
      <c r="U67" s="248"/>
      <c r="V67" s="248"/>
      <c r="W67" s="248"/>
      <c r="X67" s="248"/>
    </row>
    <row r="68" spans="2:24" ht="13.5" hidden="1" thickBot="1">
      <c r="B68" s="7" t="s">
        <v>24</v>
      </c>
      <c r="L68" s="248"/>
      <c r="M68" s="248"/>
      <c r="N68" s="248"/>
      <c r="O68" s="248"/>
      <c r="P68" s="62"/>
      <c r="Q68" s="248"/>
      <c r="T68" s="248"/>
      <c r="U68" s="248"/>
      <c r="V68" s="248"/>
      <c r="W68" s="248"/>
      <c r="X68" s="248"/>
    </row>
    <row r="69" spans="2:24" ht="13.5" hidden="1" thickBot="1">
      <c r="B69" s="7" t="s">
        <v>328</v>
      </c>
      <c r="L69" s="248"/>
      <c r="M69" s="248"/>
      <c r="N69" s="248"/>
      <c r="O69" s="248"/>
      <c r="P69" s="62"/>
      <c r="Q69" s="248"/>
      <c r="S69" s="252">
        <f>L57</f>
        <v>3</v>
      </c>
      <c r="T69" s="248"/>
      <c r="U69" s="248"/>
      <c r="V69" s="248"/>
      <c r="W69" s="248"/>
      <c r="X69" s="248"/>
    </row>
    <row r="70" spans="2:24" ht="13.5" hidden="1" thickBot="1">
      <c r="B70" s="7" t="s">
        <v>366</v>
      </c>
      <c r="L70" s="248"/>
      <c r="M70" s="248"/>
      <c r="N70" s="248"/>
      <c r="O70" s="248"/>
      <c r="P70" s="248"/>
      <c r="Q70" s="248"/>
      <c r="R70" s="69" t="s">
        <v>339</v>
      </c>
      <c r="S70" s="93">
        <f>""</f>
      </c>
      <c r="T70" s="248"/>
      <c r="U70" s="248"/>
      <c r="V70" s="248"/>
      <c r="W70" s="248"/>
      <c r="X70" s="248"/>
    </row>
    <row r="71" spans="2:24" ht="13.5" hidden="1" thickBot="1">
      <c r="B71" s="7" t="s">
        <v>323</v>
      </c>
      <c r="L71" s="248"/>
      <c r="M71" s="248"/>
      <c r="N71" s="248"/>
      <c r="O71" s="248"/>
      <c r="P71" s="248"/>
      <c r="Q71" s="248"/>
      <c r="R71" s="69" t="s">
        <v>348</v>
      </c>
      <c r="S71" s="93">
        <f>S85</f>
        <v>0.4</v>
      </c>
      <c r="T71" s="248"/>
      <c r="U71" s="248"/>
      <c r="V71" s="248"/>
      <c r="W71" s="248"/>
      <c r="X71" s="248"/>
    </row>
    <row r="72" spans="6:24" ht="15" thickBot="1">
      <c r="F72" s="37" t="s">
        <v>512</v>
      </c>
      <c r="J72" s="165" t="s">
        <v>510</v>
      </c>
      <c r="K72" s="230">
        <f>S58</f>
        <v>0.1</v>
      </c>
      <c r="L72" s="248"/>
      <c r="O72" s="248"/>
      <c r="P72" s="248"/>
      <c r="Q72" s="248"/>
      <c r="R72" s="69" t="s">
        <v>349</v>
      </c>
      <c r="S72" s="93">
        <f>S91</f>
        <v>0.3</v>
      </c>
      <c r="T72" s="248"/>
      <c r="U72" s="248"/>
      <c r="V72" s="248"/>
      <c r="W72" s="248"/>
      <c r="X72" s="248"/>
    </row>
    <row r="73" spans="12:24" ht="12.75">
      <c r="L73" s="248"/>
      <c r="M73" s="248"/>
      <c r="N73" s="248"/>
      <c r="O73" s="248"/>
      <c r="P73" s="248"/>
      <c r="Q73" s="248"/>
      <c r="S73" s="233">
        <f>INDEX(S70:S72,S69)</f>
        <v>0.3</v>
      </c>
      <c r="T73" s="248"/>
      <c r="U73" s="248"/>
      <c r="V73" s="248"/>
      <c r="W73" s="248"/>
      <c r="X73" s="248"/>
    </row>
    <row r="74" spans="17:24" ht="12.75">
      <c r="Q74" s="248"/>
      <c r="T74" s="248"/>
      <c r="U74" s="248"/>
      <c r="V74" s="248"/>
      <c r="W74" s="248"/>
      <c r="X74" s="248"/>
    </row>
    <row r="75" spans="17:19" ht="12.75">
      <c r="Q75" s="248"/>
      <c r="S75" s="252">
        <f>L62</f>
        <v>3</v>
      </c>
    </row>
    <row r="76" spans="17:19" ht="12.75">
      <c r="Q76" s="248"/>
      <c r="R76" s="93" t="s">
        <v>339</v>
      </c>
      <c r="S76" s="93">
        <f>""</f>
      </c>
    </row>
    <row r="77" spans="1:19" ht="12.75">
      <c r="A77" s="3"/>
      <c r="Q77" s="248"/>
      <c r="R77" s="93" t="s">
        <v>346</v>
      </c>
      <c r="S77" s="249">
        <v>0.4</v>
      </c>
    </row>
    <row r="78" spans="18:19" ht="12.75">
      <c r="R78" s="93" t="s">
        <v>347</v>
      </c>
      <c r="S78" s="249">
        <v>0.2</v>
      </c>
    </row>
    <row r="79" ht="12.75">
      <c r="S79" s="233">
        <f>INDEX(S76:S78,S75)</f>
        <v>0.2</v>
      </c>
    </row>
    <row r="80" ht="12.75"/>
    <row r="81" ht="12.75">
      <c r="S81" s="252">
        <f>L62</f>
        <v>3</v>
      </c>
    </row>
    <row r="82" spans="18:19" ht="12.75">
      <c r="R82" s="69" t="s">
        <v>339</v>
      </c>
      <c r="S82" s="93">
        <f>""</f>
      </c>
    </row>
    <row r="83" spans="18:19" ht="13.5" thickBot="1">
      <c r="R83" s="69" t="s">
        <v>350</v>
      </c>
      <c r="S83" s="249">
        <v>0.8</v>
      </c>
    </row>
    <row r="84" spans="6:19" ht="15" thickBot="1">
      <c r="F84" s="37" t="s">
        <v>513</v>
      </c>
      <c r="J84" s="165" t="s">
        <v>511</v>
      </c>
      <c r="K84" s="230">
        <f>S102</f>
        <v>0.7</v>
      </c>
      <c r="R84" s="69" t="s">
        <v>351</v>
      </c>
      <c r="S84" s="249">
        <v>0.4</v>
      </c>
    </row>
    <row r="85" ht="13.5" thickBot="1">
      <c r="S85" s="233">
        <f>INDEX(S82:S84,S81)</f>
        <v>0.4</v>
      </c>
    </row>
    <row r="86" spans="10:11" ht="15.75" thickBot="1" thickTop="1">
      <c r="J86" s="234" t="s">
        <v>327</v>
      </c>
      <c r="K86" s="235">
        <f>N101</f>
        <v>0.7</v>
      </c>
    </row>
    <row r="87" ht="19.5" customHeight="1" thickTop="1">
      <c r="S87" s="252">
        <f>L62</f>
        <v>3</v>
      </c>
    </row>
    <row r="88" spans="3:19" ht="12.75">
      <c r="C88" s="160"/>
      <c r="R88" s="69" t="s">
        <v>339</v>
      </c>
      <c r="S88" s="93">
        <f>""</f>
      </c>
    </row>
    <row r="89" spans="18:19" ht="12.75">
      <c r="R89" s="69" t="s">
        <v>352</v>
      </c>
      <c r="S89" s="250">
        <v>0.6</v>
      </c>
    </row>
    <row r="90" spans="1:19" ht="12.75">
      <c r="A90" s="3"/>
      <c r="R90" s="69" t="s">
        <v>353</v>
      </c>
      <c r="S90" s="250">
        <v>0.3</v>
      </c>
    </row>
    <row r="91" ht="12.75">
      <c r="S91" s="233">
        <f>INDEX(S88:S90,S87)</f>
        <v>0.3</v>
      </c>
    </row>
    <row r="92" spans="12:14" ht="12.75">
      <c r="L92" s="245">
        <v>2</v>
      </c>
      <c r="M92" s="65"/>
      <c r="N92" s="65"/>
    </row>
    <row r="93" spans="12:14" ht="12.75">
      <c r="L93" s="58" t="s">
        <v>367</v>
      </c>
      <c r="M93" s="59"/>
      <c r="N93" s="60"/>
    </row>
    <row r="94" spans="12:14" ht="12.75">
      <c r="L94" s="64" t="s">
        <v>368</v>
      </c>
      <c r="M94" s="65"/>
      <c r="N94" s="66"/>
    </row>
    <row r="96" spans="19:21" ht="12.75">
      <c r="S96" s="252">
        <f>Général!$L$91</f>
        <v>3</v>
      </c>
      <c r="T96" s="2" t="s">
        <v>371</v>
      </c>
      <c r="U96" s="2" t="s">
        <v>370</v>
      </c>
    </row>
    <row r="97" spans="18:21" ht="19.5" customHeight="1">
      <c r="R97" s="93" t="s">
        <v>339</v>
      </c>
      <c r="S97" s="93">
        <f>""</f>
      </c>
      <c r="T97" s="38"/>
      <c r="U97" s="60"/>
    </row>
    <row r="98" spans="3:21" ht="12.75">
      <c r="C98" s="160"/>
      <c r="R98" s="93" t="s">
        <v>325</v>
      </c>
      <c r="S98" s="249">
        <v>0.7</v>
      </c>
      <c r="T98" s="93"/>
      <c r="U98" s="93"/>
    </row>
    <row r="99" spans="18:21" ht="12.75">
      <c r="R99" s="93" t="s">
        <v>340</v>
      </c>
      <c r="S99" s="93">
        <f>INDEX(T99:U99,L$92)</f>
        <v>0.7</v>
      </c>
      <c r="T99" s="249">
        <v>0.1</v>
      </c>
      <c r="U99" s="249">
        <v>0.7</v>
      </c>
    </row>
    <row r="100" spans="18:21" ht="24.75" customHeight="1">
      <c r="R100" s="93" t="s">
        <v>341</v>
      </c>
      <c r="S100" s="93">
        <f>INDEX(T100:U100,L$92)</f>
        <v>0.7</v>
      </c>
      <c r="T100" s="249">
        <v>0.1</v>
      </c>
      <c r="U100" s="249">
        <v>0.7</v>
      </c>
    </row>
    <row r="101" spans="13:21" ht="12.75">
      <c r="M101" s="95" t="s">
        <v>354</v>
      </c>
      <c r="N101" s="251">
        <f>IF(OR(S58="",K50=""),"",MAX(S58,S102)*K50)</f>
        <v>0.7</v>
      </c>
      <c r="R101" s="93" t="s">
        <v>329</v>
      </c>
      <c r="S101" s="249">
        <v>0.1</v>
      </c>
      <c r="T101" s="93"/>
      <c r="U101" s="93"/>
    </row>
    <row r="102" spans="19:20" ht="12.75">
      <c r="S102" s="251">
        <f>INDEX(S97:S101,S96)</f>
        <v>0.7</v>
      </c>
      <c r="T102" s="2" t="s">
        <v>369</v>
      </c>
    </row>
    <row r="104" ht="12.75">
      <c r="A104" s="3"/>
    </row>
  </sheetData>
  <sheetProtection password="EECD" sheet="1" objects="1" scenarios="1"/>
  <mergeCells count="1">
    <mergeCell ref="K1:K2"/>
  </mergeCells>
  <printOptions horizontalCentered="1"/>
  <pageMargins left="0.7874015748031497" right="0.7874015748031497" top="0.7874015748031497" bottom="0.7874015748031497" header="0.5118110236220472" footer="0.5118110236220472"/>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Feuil8"/>
  <dimension ref="A1:V44"/>
  <sheetViews>
    <sheetView workbookViewId="0" topLeftCell="A1">
      <pane ySplit="2" topLeftCell="BM3" activePane="bottomLeft" state="frozen"/>
      <selection pane="topLeft" activeCell="J114" sqref="J114"/>
      <selection pane="bottomLeft" activeCell="C36" sqref="C36"/>
    </sheetView>
  </sheetViews>
  <sheetFormatPr defaultColWidth="11.421875" defaultRowHeight="12.75"/>
  <cols>
    <col min="3" max="3" width="17.140625" style="0" customWidth="1"/>
    <col min="5" max="5" width="6.140625" style="0" customWidth="1"/>
    <col min="7" max="7" width="11.421875" style="149" customWidth="1"/>
  </cols>
  <sheetData>
    <row r="1" spans="1:15" ht="26.25" customHeight="1" thickTop="1">
      <c r="A1" s="150"/>
      <c r="B1" s="151" t="s">
        <v>218</v>
      </c>
      <c r="C1" s="151" t="s">
        <v>275</v>
      </c>
      <c r="D1" s="151" t="s">
        <v>219</v>
      </c>
      <c r="E1" s="151" t="s">
        <v>220</v>
      </c>
      <c r="F1" s="151" t="s">
        <v>221</v>
      </c>
      <c r="G1" s="241" t="s">
        <v>331</v>
      </c>
      <c r="H1" s="150"/>
      <c r="I1" s="242" t="s">
        <v>332</v>
      </c>
      <c r="J1" s="241" t="s">
        <v>333</v>
      </c>
      <c r="K1" s="242" t="s">
        <v>334</v>
      </c>
      <c r="L1" s="368"/>
      <c r="M1" s="143"/>
      <c r="N1" s="144"/>
      <c r="O1" s="144"/>
    </row>
    <row r="2" spans="1:16" ht="18.75" thickBot="1">
      <c r="A2" s="152"/>
      <c r="B2" s="153">
        <f>Résumé!$C$5</f>
      </c>
      <c r="C2" s="153" t="str">
        <f>Résumé!$W$24</f>
        <v>-</v>
      </c>
      <c r="D2" s="153">
        <f>Résumé!$W$15</f>
      </c>
      <c r="E2" s="153">
        <f>Résumé!$W$18</f>
      </c>
      <c r="F2" s="153">
        <f>IF(OR(Général!$L$91=2,Général!$L$91=5,Général!$G$100=1)," -",IF(Résumé!$C$16="","",Résumé!$C$16))</f>
        <v>0</v>
      </c>
      <c r="G2" s="243" t="e">
        <f>Général!$N$120</f>
        <v>#VALUE!</v>
      </c>
      <c r="H2" s="152"/>
      <c r="I2" s="243">
        <f>Env!$K$19</f>
        <v>1</v>
      </c>
      <c r="J2" s="243">
        <f>Env!$K$23</f>
        <v>1</v>
      </c>
      <c r="K2" s="244">
        <f>Env!$K$86</f>
        <v>0.7</v>
      </c>
      <c r="L2" s="369"/>
      <c r="M2" s="14"/>
      <c r="N2" s="14"/>
      <c r="O2" s="141"/>
      <c r="P2" s="141"/>
    </row>
    <row r="3" spans="1:16" ht="16.5" thickTop="1">
      <c r="A3" s="167" t="s">
        <v>498</v>
      </c>
      <c r="B3" s="168"/>
      <c r="C3" s="168"/>
      <c r="D3" s="168"/>
      <c r="E3" s="169"/>
      <c r="F3" s="170"/>
      <c r="G3" s="170"/>
      <c r="H3" s="170"/>
      <c r="I3" s="170"/>
      <c r="J3" s="170"/>
      <c r="K3" s="170"/>
      <c r="L3" s="14"/>
      <c r="M3" s="14"/>
      <c r="N3" s="14"/>
      <c r="O3" s="141"/>
      <c r="P3" s="141"/>
    </row>
    <row r="4" spans="1:16" ht="15">
      <c r="A4" s="171"/>
      <c r="B4" s="168"/>
      <c r="C4" s="168"/>
      <c r="D4" s="168"/>
      <c r="E4" s="169"/>
      <c r="F4" s="172"/>
      <c r="G4" s="172"/>
      <c r="H4" s="170"/>
      <c r="I4" s="172"/>
      <c r="J4" s="172"/>
      <c r="K4" s="173"/>
      <c r="L4" s="14"/>
      <c r="M4" s="148"/>
      <c r="N4" s="148"/>
      <c r="O4" s="351"/>
      <c r="P4" s="351"/>
    </row>
    <row r="5" spans="1:22" ht="15">
      <c r="A5" s="174" t="s">
        <v>493</v>
      </c>
      <c r="B5" s="168"/>
      <c r="C5" s="168"/>
      <c r="D5" s="168"/>
      <c r="E5" s="169"/>
      <c r="F5" s="175"/>
      <c r="G5" s="176"/>
      <c r="H5" s="175"/>
      <c r="I5" s="177"/>
      <c r="J5" s="175"/>
      <c r="K5" s="175"/>
      <c r="L5" s="142"/>
      <c r="M5" s="146"/>
      <c r="N5" s="352"/>
      <c r="O5" s="352"/>
      <c r="P5" s="351"/>
      <c r="U5" s="149"/>
      <c r="V5" s="149"/>
    </row>
    <row r="6" spans="1:16" ht="13.5" thickBot="1">
      <c r="A6" s="178"/>
      <c r="B6" s="168"/>
      <c r="C6" s="168"/>
      <c r="D6" s="168"/>
      <c r="E6" s="168"/>
      <c r="F6" s="175"/>
      <c r="G6" s="176"/>
      <c r="H6" s="179"/>
      <c r="I6" s="177"/>
      <c r="J6" s="175"/>
      <c r="K6" s="176"/>
      <c r="L6" s="142"/>
      <c r="M6" s="146"/>
      <c r="N6" s="352"/>
      <c r="O6" s="352"/>
      <c r="P6" s="351"/>
    </row>
    <row r="7" spans="1:16" ht="13.5" customHeight="1" thickBot="1">
      <c r="A7" s="180" t="s">
        <v>494</v>
      </c>
      <c r="B7" s="168"/>
      <c r="C7" s="353"/>
      <c r="D7" s="168"/>
      <c r="E7" s="168"/>
      <c r="F7" s="175"/>
      <c r="G7" s="176"/>
      <c r="H7" s="175"/>
      <c r="I7" s="175"/>
      <c r="J7" s="175"/>
      <c r="K7" s="176"/>
      <c r="L7" s="142"/>
      <c r="M7" s="146"/>
      <c r="N7" s="351"/>
      <c r="O7" s="351"/>
      <c r="P7" s="351"/>
    </row>
    <row r="8" spans="1:16" ht="12.75">
      <c r="A8" s="168" t="s">
        <v>499</v>
      </c>
      <c r="B8" s="168"/>
      <c r="C8" s="168"/>
      <c r="D8" s="168"/>
      <c r="E8" s="168"/>
      <c r="F8" s="175"/>
      <c r="G8" s="176"/>
      <c r="H8" s="175"/>
      <c r="I8" s="364"/>
      <c r="J8" s="364"/>
      <c r="K8" s="181"/>
      <c r="L8" s="157"/>
      <c r="M8" s="146"/>
      <c r="N8" s="141"/>
      <c r="O8" s="141"/>
      <c r="P8" s="141"/>
    </row>
    <row r="9" spans="1:16" ht="18" customHeight="1">
      <c r="A9" s="363"/>
      <c r="B9" s="363"/>
      <c r="C9" s="363"/>
      <c r="D9" s="363"/>
      <c r="E9" s="363"/>
      <c r="F9" s="363"/>
      <c r="G9" s="176"/>
      <c r="H9" s="175"/>
      <c r="I9" s="364"/>
      <c r="J9" s="364"/>
      <c r="K9" s="175"/>
      <c r="L9" s="141"/>
      <c r="M9" s="146"/>
      <c r="N9" s="141"/>
      <c r="O9" s="141"/>
      <c r="P9" s="141"/>
    </row>
    <row r="10" spans="1:16" ht="23.25" customHeight="1">
      <c r="A10" s="365" t="s">
        <v>497</v>
      </c>
      <c r="B10" s="366"/>
      <c r="C10" s="366"/>
      <c r="D10" s="366"/>
      <c r="E10" s="366"/>
      <c r="F10" s="175"/>
      <c r="G10" s="176"/>
      <c r="H10" s="182"/>
      <c r="I10" s="364"/>
      <c r="J10" s="364"/>
      <c r="K10" s="175"/>
      <c r="L10" s="141"/>
      <c r="M10" s="146"/>
      <c r="N10" s="147"/>
      <c r="O10" s="145"/>
      <c r="P10" s="141"/>
    </row>
    <row r="11" spans="1:16" ht="15">
      <c r="A11" s="174" t="s">
        <v>247</v>
      </c>
      <c r="B11" s="183"/>
      <c r="C11" s="183"/>
      <c r="D11" s="183"/>
      <c r="E11" s="183"/>
      <c r="F11" s="175"/>
      <c r="G11" s="176"/>
      <c r="H11" s="175"/>
      <c r="I11" s="175"/>
      <c r="J11" s="175"/>
      <c r="K11" s="175"/>
      <c r="L11" s="141"/>
      <c r="M11" s="146"/>
      <c r="N11" s="145"/>
      <c r="O11" s="145"/>
      <c r="P11" s="141"/>
    </row>
    <row r="12" spans="1:16" ht="12.75">
      <c r="A12" s="175"/>
      <c r="B12" s="168"/>
      <c r="C12" s="168"/>
      <c r="D12" s="168"/>
      <c r="E12" s="168"/>
      <c r="F12" s="175"/>
      <c r="G12" s="176"/>
      <c r="H12" s="175"/>
      <c r="I12" s="364"/>
      <c r="J12" s="364"/>
      <c r="K12" s="176"/>
      <c r="L12" s="142"/>
      <c r="M12" s="146"/>
      <c r="N12" s="145"/>
      <c r="O12" s="145"/>
      <c r="P12" s="141"/>
    </row>
    <row r="13" spans="1:16" ht="12.75">
      <c r="A13" s="180"/>
      <c r="B13" s="168"/>
      <c r="C13" s="168"/>
      <c r="D13" s="168"/>
      <c r="E13" s="168"/>
      <c r="F13" s="175"/>
      <c r="G13" s="176"/>
      <c r="H13" s="175"/>
      <c r="I13" s="364"/>
      <c r="J13" s="364"/>
      <c r="K13" s="176"/>
      <c r="L13" s="142"/>
      <c r="M13" s="146"/>
      <c r="N13" s="145"/>
      <c r="O13" s="145"/>
      <c r="P13" s="141"/>
    </row>
    <row r="14" spans="1:16" ht="15">
      <c r="A14" s="174"/>
      <c r="B14" s="168"/>
      <c r="C14" s="168"/>
      <c r="D14" s="168"/>
      <c r="E14" s="168"/>
      <c r="F14" s="175"/>
      <c r="G14" s="176"/>
      <c r="H14" s="175"/>
      <c r="I14" s="364"/>
      <c r="J14" s="364"/>
      <c r="K14" s="176"/>
      <c r="L14" s="142"/>
      <c r="M14" s="146"/>
      <c r="N14" s="145"/>
      <c r="O14" s="145"/>
      <c r="P14" s="141"/>
    </row>
    <row r="15" spans="1:16" ht="12.75">
      <c r="A15" s="180"/>
      <c r="B15" s="168"/>
      <c r="C15" s="168"/>
      <c r="D15" s="168"/>
      <c r="E15" s="168"/>
      <c r="F15" s="175"/>
      <c r="G15" s="176"/>
      <c r="H15" s="175"/>
      <c r="I15" s="175"/>
      <c r="J15" s="175"/>
      <c r="K15" s="176"/>
      <c r="L15" s="142"/>
      <c r="M15" s="146"/>
      <c r="N15" s="145"/>
      <c r="O15" s="145"/>
      <c r="P15" s="141"/>
    </row>
    <row r="16" spans="1:16" ht="12.75">
      <c r="A16" s="180"/>
      <c r="B16" s="168"/>
      <c r="C16" s="168"/>
      <c r="D16" s="168"/>
      <c r="E16" s="168"/>
      <c r="F16" s="175"/>
      <c r="G16" s="176"/>
      <c r="H16" s="175"/>
      <c r="I16" s="175"/>
      <c r="J16" s="175"/>
      <c r="K16" s="176"/>
      <c r="L16" s="142"/>
      <c r="M16" s="146"/>
      <c r="N16" s="145"/>
      <c r="O16" s="145"/>
      <c r="P16" s="141"/>
    </row>
    <row r="17" spans="1:16" ht="29.25" customHeight="1">
      <c r="A17" s="175"/>
      <c r="B17" s="175"/>
      <c r="C17" s="175"/>
      <c r="D17" s="175"/>
      <c r="E17" s="175"/>
      <c r="F17" s="175"/>
      <c r="G17" s="176"/>
      <c r="H17" s="175"/>
      <c r="I17" s="175"/>
      <c r="J17" s="175"/>
      <c r="K17" s="176"/>
      <c r="L17" s="142"/>
      <c r="M17" s="146"/>
      <c r="N17" s="145"/>
      <c r="O17" s="145"/>
      <c r="P17" s="141"/>
    </row>
    <row r="18" spans="1:16" ht="12.75">
      <c r="A18" s="168"/>
      <c r="B18" s="168"/>
      <c r="C18" s="168"/>
      <c r="D18" s="168"/>
      <c r="E18" s="168"/>
      <c r="F18" s="175"/>
      <c r="G18" s="176"/>
      <c r="H18" s="175"/>
      <c r="I18" s="175"/>
      <c r="J18" s="175"/>
      <c r="K18" s="176"/>
      <c r="L18" s="142"/>
      <c r="M18" s="146"/>
      <c r="N18" s="145"/>
      <c r="O18" s="145"/>
      <c r="P18" s="141"/>
    </row>
    <row r="19" spans="1:16" ht="12.75">
      <c r="A19" s="180"/>
      <c r="B19" s="168"/>
      <c r="C19" s="168"/>
      <c r="D19" s="168"/>
      <c r="E19" s="168"/>
      <c r="F19" s="175"/>
      <c r="G19" s="176"/>
      <c r="H19" s="175"/>
      <c r="I19" s="175"/>
      <c r="J19" s="175"/>
      <c r="K19" s="176"/>
      <c r="L19" s="142"/>
      <c r="M19" s="146"/>
      <c r="N19" s="145"/>
      <c r="O19" s="145"/>
      <c r="P19" s="141"/>
    </row>
    <row r="20" spans="1:16" ht="12.75">
      <c r="A20" s="177"/>
      <c r="B20" s="175"/>
      <c r="C20" s="175"/>
      <c r="D20" s="175"/>
      <c r="E20" s="175"/>
      <c r="F20" s="175"/>
      <c r="G20" s="176"/>
      <c r="H20" s="175"/>
      <c r="I20" s="175"/>
      <c r="J20" s="175"/>
      <c r="K20" s="176"/>
      <c r="L20" s="142"/>
      <c r="M20" s="146"/>
      <c r="N20" s="145"/>
      <c r="O20" s="145"/>
      <c r="P20" s="141"/>
    </row>
    <row r="21" spans="1:16" ht="12.75">
      <c r="A21" s="184" t="s">
        <v>17</v>
      </c>
      <c r="B21" s="185"/>
      <c r="C21" s="184" t="s">
        <v>18</v>
      </c>
      <c r="D21" s="184"/>
      <c r="E21" s="185"/>
      <c r="F21" s="184" t="s">
        <v>483</v>
      </c>
      <c r="G21" s="184" t="s">
        <v>485</v>
      </c>
      <c r="H21" s="186"/>
      <c r="I21" s="175"/>
      <c r="J21" s="187"/>
      <c r="K21" s="175"/>
      <c r="L21" s="141"/>
      <c r="M21" s="141"/>
      <c r="N21" s="141"/>
      <c r="O21" s="141"/>
      <c r="P21" s="141"/>
    </row>
    <row r="22" spans="1:16" ht="6" customHeight="1">
      <c r="A22" s="188"/>
      <c r="B22" s="188"/>
      <c r="C22" s="188"/>
      <c r="D22" s="189"/>
      <c r="E22" s="188"/>
      <c r="F22" s="188"/>
      <c r="G22" s="190"/>
      <c r="H22" s="191"/>
      <c r="I22" s="186"/>
      <c r="J22" s="175"/>
      <c r="K22" s="175"/>
      <c r="L22" s="141"/>
      <c r="M22" s="141"/>
      <c r="N22" s="141"/>
      <c r="O22" s="141"/>
      <c r="P22" s="141"/>
    </row>
    <row r="23" spans="1:16" ht="2.25" customHeight="1" thickBot="1">
      <c r="A23" s="188"/>
      <c r="B23" s="188"/>
      <c r="C23" s="188"/>
      <c r="D23" s="188"/>
      <c r="E23" s="188"/>
      <c r="F23" s="188"/>
      <c r="G23" s="190"/>
      <c r="H23" s="187"/>
      <c r="I23" s="187"/>
      <c r="J23" s="175"/>
      <c r="K23" s="175"/>
      <c r="L23" s="141"/>
      <c r="M23" s="141"/>
      <c r="N23" s="141"/>
      <c r="O23" s="141"/>
      <c r="P23" s="141"/>
    </row>
    <row r="24" spans="1:16" ht="13.5" thickBot="1">
      <c r="A24" s="161">
        <f>Général!B68</f>
        <v>0</v>
      </c>
      <c r="B24" s="192"/>
      <c r="C24" s="161">
        <f>Général!E68</f>
        <v>0</v>
      </c>
      <c r="D24" s="193"/>
      <c r="E24" s="192"/>
      <c r="F24" s="255">
        <f>Général!I66</f>
        <v>0</v>
      </c>
      <c r="G24" s="255">
        <f>Général!K66</f>
        <v>0</v>
      </c>
      <c r="H24" s="194"/>
      <c r="I24" s="175"/>
      <c r="J24" s="175"/>
      <c r="K24" s="175"/>
      <c r="L24" s="141"/>
      <c r="M24" s="141"/>
      <c r="N24" s="141"/>
      <c r="O24" s="141"/>
      <c r="P24" s="141"/>
    </row>
    <row r="25" spans="1:11" ht="12.75">
      <c r="A25" s="175"/>
      <c r="B25" s="175"/>
      <c r="C25" s="175"/>
      <c r="D25" s="175"/>
      <c r="E25" s="175"/>
      <c r="F25" s="175"/>
      <c r="G25" s="176"/>
      <c r="H25" s="175"/>
      <c r="I25" s="175"/>
      <c r="J25" s="175"/>
      <c r="K25" s="175"/>
    </row>
    <row r="26" spans="1:11" ht="12.75">
      <c r="A26" s="175"/>
      <c r="B26" s="175"/>
      <c r="C26" s="175"/>
      <c r="D26" s="175"/>
      <c r="E26" s="175"/>
      <c r="F26" s="184" t="s">
        <v>489</v>
      </c>
      <c r="G26" s="184" t="s">
        <v>490</v>
      </c>
      <c r="H26" s="175"/>
      <c r="I26" s="175"/>
      <c r="J26" s="175"/>
      <c r="K26" s="175"/>
    </row>
    <row r="27" spans="1:11" ht="12.75">
      <c r="A27" s="175"/>
      <c r="B27" s="175"/>
      <c r="C27" s="175"/>
      <c r="D27" s="175"/>
      <c r="E27" s="175"/>
      <c r="F27" s="188"/>
      <c r="G27" s="190"/>
      <c r="H27" s="175"/>
      <c r="I27" s="175"/>
      <c r="J27" s="175"/>
      <c r="K27" s="175"/>
    </row>
    <row r="28" spans="1:11" ht="13.5" thickBot="1">
      <c r="A28" s="175"/>
      <c r="B28" s="175"/>
      <c r="C28" s="175"/>
      <c r="D28" s="175"/>
      <c r="E28" s="175"/>
      <c r="F28" s="188"/>
      <c r="G28" s="190"/>
      <c r="H28" s="175"/>
      <c r="I28" s="175"/>
      <c r="J28" s="175"/>
      <c r="K28" s="175"/>
    </row>
    <row r="29" spans="1:11" ht="13.5" thickBot="1">
      <c r="A29" s="175"/>
      <c r="B29" s="175"/>
      <c r="C29" s="175"/>
      <c r="D29" s="175"/>
      <c r="E29" s="175"/>
      <c r="F29" s="255">
        <f>Général!I68</f>
        <v>0</v>
      </c>
      <c r="G29" s="255">
        <f>Général!K68</f>
        <v>0</v>
      </c>
      <c r="H29" s="175"/>
      <c r="I29" s="175"/>
      <c r="J29" s="175"/>
      <c r="K29" s="175"/>
    </row>
    <row r="30" spans="1:11" ht="12.75">
      <c r="A30" s="175"/>
      <c r="B30" s="175"/>
      <c r="C30" s="175"/>
      <c r="D30" s="175"/>
      <c r="E30" s="175"/>
      <c r="F30" s="175"/>
      <c r="G30" s="176"/>
      <c r="H30" s="175"/>
      <c r="I30" s="175"/>
      <c r="J30" s="175"/>
      <c r="K30" s="175"/>
    </row>
    <row r="31" spans="1:11" ht="12.75">
      <c r="A31" s="175"/>
      <c r="B31" s="175"/>
      <c r="C31" s="175"/>
      <c r="D31" s="175"/>
      <c r="E31" s="175"/>
      <c r="F31" s="175"/>
      <c r="G31" s="176"/>
      <c r="H31" s="175"/>
      <c r="I31" s="175"/>
      <c r="J31" s="175"/>
      <c r="K31" s="175"/>
    </row>
    <row r="32" spans="1:11" ht="15.75">
      <c r="A32" s="362" t="s">
        <v>500</v>
      </c>
      <c r="B32" s="363"/>
      <c r="C32" s="363"/>
      <c r="D32" s="363"/>
      <c r="E32" s="363"/>
      <c r="F32" s="175"/>
      <c r="G32" s="176"/>
      <c r="H32" s="175"/>
      <c r="I32" s="175"/>
      <c r="J32" s="175"/>
      <c r="K32" s="175"/>
    </row>
    <row r="33" spans="1:11" ht="15.75">
      <c r="A33" s="354"/>
      <c r="B33" s="346"/>
      <c r="C33" s="346"/>
      <c r="D33" s="346"/>
      <c r="E33" s="346"/>
      <c r="F33" s="175"/>
      <c r="G33" s="176"/>
      <c r="H33" s="175"/>
      <c r="I33" s="175"/>
      <c r="J33" s="175"/>
      <c r="K33" s="175"/>
    </row>
    <row r="34" spans="1:11" ht="12.75">
      <c r="A34" s="356" t="s">
        <v>501</v>
      </c>
      <c r="B34" s="175"/>
      <c r="C34" s="175"/>
      <c r="D34" s="175"/>
      <c r="E34" s="175"/>
      <c r="F34" s="175"/>
      <c r="G34" s="176"/>
      <c r="H34" s="175"/>
      <c r="I34" s="175"/>
      <c r="J34" s="175"/>
      <c r="K34" s="175"/>
    </row>
    <row r="35" spans="1:11" ht="13.5" thickBot="1">
      <c r="A35" s="175"/>
      <c r="B35" s="175"/>
      <c r="C35" s="175"/>
      <c r="D35" s="175"/>
      <c r="E35" s="175"/>
      <c r="F35" s="175"/>
      <c r="G35" s="176"/>
      <c r="H35" s="175"/>
      <c r="I35" s="175"/>
      <c r="J35" s="175"/>
      <c r="K35" s="175"/>
    </row>
    <row r="36" spans="1:11" ht="13.5" thickBot="1">
      <c r="A36" s="180" t="s">
        <v>494</v>
      </c>
      <c r="B36" s="168"/>
      <c r="C36" s="353"/>
      <c r="D36" s="175"/>
      <c r="E36" s="355"/>
      <c r="F36" s="175"/>
      <c r="G36" s="176"/>
      <c r="H36" s="175"/>
      <c r="I36" s="175"/>
      <c r="J36" s="175"/>
      <c r="K36" s="175"/>
    </row>
    <row r="37" spans="1:11" ht="12.75">
      <c r="A37" s="168" t="s">
        <v>499</v>
      </c>
      <c r="B37" s="168"/>
      <c r="C37" s="168"/>
      <c r="D37" s="175"/>
      <c r="E37" s="175"/>
      <c r="F37" s="175"/>
      <c r="G37" s="176"/>
      <c r="H37" s="175"/>
      <c r="I37" s="175"/>
      <c r="J37" s="175"/>
      <c r="K37" s="175"/>
    </row>
    <row r="38" spans="1:11" ht="12.75">
      <c r="A38" s="175"/>
      <c r="B38" s="175"/>
      <c r="C38" s="175"/>
      <c r="D38" s="175"/>
      <c r="E38" s="175"/>
      <c r="F38" s="175"/>
      <c r="G38" s="176"/>
      <c r="H38" s="175"/>
      <c r="I38" s="175"/>
      <c r="J38" s="175"/>
      <c r="K38" s="175"/>
    </row>
    <row r="39" spans="1:11" ht="12.75">
      <c r="A39" s="356" t="s">
        <v>502</v>
      </c>
      <c r="B39" s="175"/>
      <c r="C39" s="175"/>
      <c r="D39" s="175"/>
      <c r="E39" s="175"/>
      <c r="F39" s="175"/>
      <c r="G39" s="176"/>
      <c r="H39" s="175"/>
      <c r="I39" s="175"/>
      <c r="J39" s="175"/>
      <c r="K39" s="175"/>
    </row>
    <row r="40" spans="1:11" ht="12.75">
      <c r="A40" s="175"/>
      <c r="B40" s="175"/>
      <c r="C40" s="175"/>
      <c r="D40" s="175"/>
      <c r="E40" s="175"/>
      <c r="F40" s="175"/>
      <c r="G40" s="176"/>
      <c r="H40" s="175"/>
      <c r="I40" s="175"/>
      <c r="J40" s="175"/>
      <c r="K40" s="175"/>
    </row>
    <row r="41" spans="1:11" ht="12.75">
      <c r="A41" s="175"/>
      <c r="B41" s="175"/>
      <c r="C41" s="175"/>
      <c r="D41" s="175"/>
      <c r="E41" s="175"/>
      <c r="F41" s="175"/>
      <c r="G41" s="176"/>
      <c r="H41" s="175"/>
      <c r="I41" s="175"/>
      <c r="J41" s="175"/>
      <c r="K41" s="175"/>
    </row>
    <row r="42" spans="1:11" ht="12.75">
      <c r="A42" s="175"/>
      <c r="B42" s="175"/>
      <c r="C42" s="175"/>
      <c r="D42" s="175"/>
      <c r="E42" s="175"/>
      <c r="F42" s="175"/>
      <c r="G42" s="176"/>
      <c r="H42" s="175"/>
      <c r="I42" s="175"/>
      <c r="J42" s="175"/>
      <c r="K42" s="175"/>
    </row>
    <row r="43" spans="1:11" ht="12.75">
      <c r="A43" s="175"/>
      <c r="B43" s="175"/>
      <c r="C43" s="175"/>
      <c r="D43" s="175"/>
      <c r="E43" s="175"/>
      <c r="F43" s="175"/>
      <c r="G43" s="176"/>
      <c r="H43" s="175"/>
      <c r="I43" s="175"/>
      <c r="J43" s="175"/>
      <c r="K43" s="175"/>
    </row>
    <row r="44" spans="1:11" ht="12.75">
      <c r="A44" s="175"/>
      <c r="B44" s="175"/>
      <c r="C44" s="175"/>
      <c r="D44" s="175"/>
      <c r="E44" s="175"/>
      <c r="F44" s="175"/>
      <c r="G44" s="176"/>
      <c r="H44" s="175"/>
      <c r="I44" s="175"/>
      <c r="J44" s="175"/>
      <c r="K44" s="175"/>
    </row>
  </sheetData>
  <sheetProtection password="EECD" sheet="1" objects="1" scenarios="1"/>
  <mergeCells count="6">
    <mergeCell ref="A32:E32"/>
    <mergeCell ref="L1:L2"/>
    <mergeCell ref="I12:J14"/>
    <mergeCell ref="I8:J10"/>
    <mergeCell ref="A10:E10"/>
    <mergeCell ref="A9:F9"/>
  </mergeCells>
  <printOptions/>
  <pageMargins left="0.75" right="0.75" top="1" bottom="1" header="0.4921259845" footer="0.4921259845"/>
  <pageSetup horizontalDpi="600" verticalDpi="600" orientation="landscape" paperSize="9" r:id="rId2"/>
  <legacyDrawing r:id="rId1"/>
</worksheet>
</file>

<file path=xl/worksheets/sheet8.xml><?xml version="1.0" encoding="utf-8"?>
<worksheet xmlns="http://schemas.openxmlformats.org/spreadsheetml/2006/main" xmlns:r="http://schemas.openxmlformats.org/officeDocument/2006/relationships">
  <sheetPr codeName="Feuil3"/>
  <dimension ref="B1:W150"/>
  <sheetViews>
    <sheetView workbookViewId="0" topLeftCell="A1">
      <selection activeCell="W25" sqref="W25"/>
    </sheetView>
  </sheetViews>
  <sheetFormatPr defaultColWidth="11.421875" defaultRowHeight="15.75" customHeight="1"/>
  <cols>
    <col min="1" max="2" width="5.00390625" style="37" customWidth="1"/>
    <col min="3" max="3" width="5.00390625" style="49" customWidth="1"/>
    <col min="4" max="4" width="3.28125" style="37" customWidth="1"/>
    <col min="5" max="5" width="10.00390625" style="37" customWidth="1"/>
    <col min="6" max="6" width="6.8515625" style="37" customWidth="1"/>
    <col min="7" max="7" width="6.140625" style="37" customWidth="1"/>
    <col min="8" max="21" width="5.00390625" style="37" customWidth="1"/>
    <col min="22" max="22" width="17.421875" style="37" customWidth="1"/>
    <col min="23" max="23" width="9.8515625" style="41" customWidth="1"/>
    <col min="24" max="25" width="5.00390625" style="37" customWidth="1"/>
    <col min="26" max="26" width="19.00390625" style="88" customWidth="1"/>
    <col min="27" max="27" width="8.28125" style="88" customWidth="1"/>
    <col min="28" max="33" width="5.00390625" style="37" customWidth="1"/>
    <col min="34" max="34" width="8.140625" style="37" customWidth="1"/>
    <col min="35" max="16384" width="5.00390625" style="37" customWidth="1"/>
  </cols>
  <sheetData>
    <row r="1" spans="22:23" ht="12" customHeight="1" thickBot="1">
      <c r="V1" s="224" t="s">
        <v>17</v>
      </c>
      <c r="W1" s="219">
        <f>Général!$B$68</f>
        <v>0</v>
      </c>
    </row>
    <row r="2" spans="2:23" ht="12" customHeight="1">
      <c r="B2" s="99" t="s">
        <v>165</v>
      </c>
      <c r="C2" s="100">
        <f>Général!$N$82</f>
      </c>
      <c r="E2" s="121" t="s">
        <v>186</v>
      </c>
      <c r="F2" s="122"/>
      <c r="V2" s="225" t="s">
        <v>248</v>
      </c>
      <c r="W2" s="158">
        <f>Général!$E$68</f>
        <v>0</v>
      </c>
    </row>
    <row r="3" spans="2:23" ht="12" customHeight="1">
      <c r="B3" s="101" t="s">
        <v>166</v>
      </c>
      <c r="C3" s="102">
        <f>Général!$N$96</f>
        <v>0.4</v>
      </c>
      <c r="E3" s="105" t="s">
        <v>188</v>
      </c>
      <c r="F3" s="106">
        <f>Tablier!E47</f>
        <v>0</v>
      </c>
      <c r="G3" s="103">
        <f>Tablier!E49</f>
        <v>0</v>
      </c>
      <c r="H3" s="103">
        <f>Tablier!E51</f>
        <v>0</v>
      </c>
      <c r="I3" s="103">
        <f>Tablier!E53</f>
        <v>0</v>
      </c>
      <c r="J3" s="103">
        <f>Tablier!E55</f>
        <v>0</v>
      </c>
      <c r="K3" s="103">
        <f>Tablier!E57</f>
        <v>0</v>
      </c>
      <c r="L3" s="103">
        <f>Tablier!E59</f>
        <v>0</v>
      </c>
      <c r="M3" s="103">
        <f>Tablier!E61</f>
        <v>0</v>
      </c>
      <c r="N3" s="103">
        <f>Tablier!E63</f>
        <v>0</v>
      </c>
      <c r="O3" s="103">
        <f>Tablier!E65</f>
        <v>0</v>
      </c>
      <c r="P3" s="103">
        <f>Tablier!E67</f>
        <v>0</v>
      </c>
      <c r="Q3" s="103">
        <f>Tablier!E69</f>
        <v>0</v>
      </c>
      <c r="R3" s="112"/>
      <c r="V3" s="225" t="s">
        <v>486</v>
      </c>
      <c r="W3" s="228">
        <f>Général!I66</f>
        <v>0</v>
      </c>
    </row>
    <row r="4" spans="2:23" ht="12" customHeight="1">
      <c r="B4" s="101" t="s">
        <v>167</v>
      </c>
      <c r="C4" s="102">
        <f>Général!$N$111</f>
        <v>0</v>
      </c>
      <c r="E4" s="105" t="s">
        <v>189</v>
      </c>
      <c r="F4" s="106">
        <f>Tablier!G46</f>
        <v>0</v>
      </c>
      <c r="G4" s="106">
        <f>Tablier!G48</f>
        <v>0</v>
      </c>
      <c r="H4" s="106">
        <f>Tablier!G50</f>
        <v>0</v>
      </c>
      <c r="I4" s="106">
        <f>Tablier!G52</f>
        <v>0</v>
      </c>
      <c r="J4" s="106">
        <f>Tablier!G54</f>
        <v>0</v>
      </c>
      <c r="K4" s="106">
        <f>Tablier!G56</f>
        <v>0</v>
      </c>
      <c r="L4" s="106">
        <f>Tablier!G58</f>
        <v>0</v>
      </c>
      <c r="M4" s="106">
        <f>Tablier!G60</f>
        <v>0</v>
      </c>
      <c r="N4" s="106">
        <f>Tablier!G62</f>
        <v>0</v>
      </c>
      <c r="O4" s="106">
        <f>Tablier!G64</f>
        <v>0</v>
      </c>
      <c r="P4" s="106">
        <f>Tablier!G66</f>
        <v>0</v>
      </c>
      <c r="Q4" s="106">
        <f>Tablier!G68</f>
        <v>0</v>
      </c>
      <c r="R4" s="107">
        <f>Tablier!G70</f>
        <v>0</v>
      </c>
      <c r="V4" s="225" t="s">
        <v>491</v>
      </c>
      <c r="W4" s="228">
        <f>Général!I68</f>
        <v>0</v>
      </c>
    </row>
    <row r="5" spans="2:23" ht="12" customHeight="1" thickBot="1">
      <c r="B5" s="108" t="s">
        <v>178</v>
      </c>
      <c r="C5" s="109">
        <f>IF(OR(C2="",C3=""),"",C2*(2*C3+C4)/2)</f>
      </c>
      <c r="E5" s="105" t="s">
        <v>190</v>
      </c>
      <c r="F5" s="106">
        <f>Tablier!P46</f>
        <v>2</v>
      </c>
      <c r="G5" s="106">
        <f>Tablier!P48</f>
        <v>2</v>
      </c>
      <c r="H5" s="106">
        <f>Tablier!P50</f>
        <v>3</v>
      </c>
      <c r="I5" s="106">
        <f>Tablier!P52</f>
        <v>1</v>
      </c>
      <c r="J5" s="106">
        <f>Tablier!P54</f>
        <v>1</v>
      </c>
      <c r="K5" s="106">
        <f>Tablier!P56</f>
        <v>2</v>
      </c>
      <c r="L5" s="106">
        <f>Tablier!P58</f>
        <v>2</v>
      </c>
      <c r="M5" s="106">
        <f>Tablier!P60</f>
        <v>1</v>
      </c>
      <c r="N5" s="106">
        <f>Tablier!P62</f>
        <v>3</v>
      </c>
      <c r="O5" s="106">
        <f>Tablier!P64</f>
        <v>3</v>
      </c>
      <c r="P5" s="106">
        <f>Tablier!P66</f>
        <v>1</v>
      </c>
      <c r="Q5" s="106">
        <f>Tablier!P68</f>
        <v>1</v>
      </c>
      <c r="R5" s="107">
        <f>Tablier!P70</f>
        <v>1</v>
      </c>
      <c r="V5" s="225" t="s">
        <v>484</v>
      </c>
      <c r="W5" s="228">
        <f>Général!K66</f>
        <v>0</v>
      </c>
    </row>
    <row r="6" spans="2:23" ht="12" customHeight="1" thickBot="1">
      <c r="B6" s="110" t="s">
        <v>179</v>
      </c>
      <c r="C6" s="111" t="e">
        <f>Voute!$K$47</f>
        <v>#VALUE!</v>
      </c>
      <c r="E6" s="105" t="s">
        <v>191</v>
      </c>
      <c r="F6" s="106">
        <f>Tablier!K46</f>
        <v>0</v>
      </c>
      <c r="G6" s="106">
        <f>Tablier!K48</f>
        <v>0</v>
      </c>
      <c r="H6" s="106">
        <f>Tablier!K50</f>
        <v>0</v>
      </c>
      <c r="I6" s="106">
        <f>Tablier!K52</f>
        <v>0</v>
      </c>
      <c r="J6" s="106">
        <f>Tablier!K54</f>
        <v>0</v>
      </c>
      <c r="K6" s="106">
        <f>Tablier!K56</f>
        <v>0</v>
      </c>
      <c r="L6" s="106">
        <f>Tablier!K58</f>
        <v>0</v>
      </c>
      <c r="M6" s="106">
        <f>Tablier!K60</f>
        <v>0</v>
      </c>
      <c r="N6" s="106">
        <f>Tablier!K62</f>
        <v>0</v>
      </c>
      <c r="O6" s="106">
        <f>Tablier!K64</f>
        <v>0</v>
      </c>
      <c r="P6" s="106">
        <f>Tablier!K66</f>
        <v>0</v>
      </c>
      <c r="Q6" s="106">
        <f>Tablier!K68</f>
        <v>0</v>
      </c>
      <c r="R6" s="107">
        <f>Tablier!K70</f>
        <v>0</v>
      </c>
      <c r="V6" s="225" t="s">
        <v>492</v>
      </c>
      <c r="W6" s="228">
        <f>Général!K68</f>
        <v>0</v>
      </c>
    </row>
    <row r="7" spans="2:23" ht="12" customHeight="1">
      <c r="B7" s="99" t="s">
        <v>168</v>
      </c>
      <c r="C7" s="100">
        <f>Tablier!$N$87</f>
      </c>
      <c r="E7" s="105" t="s">
        <v>192</v>
      </c>
      <c r="F7" s="106">
        <f>Tablier!M46</f>
        <v>0</v>
      </c>
      <c r="G7" s="113">
        <f>Tablier!M48</f>
        <v>0</v>
      </c>
      <c r="H7" s="113">
        <f>Tablier!M50</f>
        <v>0</v>
      </c>
      <c r="I7" s="113">
        <f>Tablier!M52</f>
        <v>0</v>
      </c>
      <c r="J7" s="113">
        <f>Tablier!M54</f>
        <v>0</v>
      </c>
      <c r="K7" s="113">
        <f>Tablier!M56</f>
        <v>0</v>
      </c>
      <c r="L7" s="113">
        <f>Tablier!M58</f>
        <v>0</v>
      </c>
      <c r="M7" s="113">
        <f>Tablier!M60</f>
        <v>0</v>
      </c>
      <c r="N7" s="113">
        <f>Tablier!M62</f>
        <v>0</v>
      </c>
      <c r="O7" s="113">
        <f>Tablier!M64</f>
        <v>0</v>
      </c>
      <c r="P7" s="113">
        <f>Tablier!M66</f>
        <v>0</v>
      </c>
      <c r="Q7" s="113">
        <f>Tablier!M68</f>
        <v>0</v>
      </c>
      <c r="R7" s="114">
        <f>Tablier!M70</f>
        <v>0</v>
      </c>
      <c r="V7" s="225" t="s">
        <v>363</v>
      </c>
      <c r="W7" s="228" t="str">
        <f>Général!M52</f>
        <v>B</v>
      </c>
    </row>
    <row r="8" spans="2:23" ht="12" customHeight="1">
      <c r="B8" s="101" t="s">
        <v>169</v>
      </c>
      <c r="C8" s="102">
        <f>Tablier!$N$113</f>
      </c>
      <c r="E8" s="105" t="s">
        <v>187</v>
      </c>
      <c r="F8" s="107">
        <f>Tablier!P13</f>
        <v>3</v>
      </c>
      <c r="V8" s="225" t="s">
        <v>278</v>
      </c>
      <c r="W8" s="159">
        <f>Général!$N$82</f>
      </c>
    </row>
    <row r="9" spans="2:23" ht="12" customHeight="1">
      <c r="B9" s="101" t="s">
        <v>170</v>
      </c>
      <c r="C9" s="102">
        <f>Tablier!$N$131</f>
        <v>0</v>
      </c>
      <c r="E9" s="105" t="s">
        <v>193</v>
      </c>
      <c r="F9" s="107">
        <f>Tablier!P91</f>
        <v>2</v>
      </c>
      <c r="V9" s="225" t="s">
        <v>279</v>
      </c>
      <c r="W9" s="159">
        <f>Général!$N$96</f>
        <v>0.4</v>
      </c>
    </row>
    <row r="10" spans="2:23" ht="12" customHeight="1" thickBot="1">
      <c r="B10" s="108" t="s">
        <v>180</v>
      </c>
      <c r="C10" s="115">
        <f>IF(OR(C7="",C8="",C9=""),"",MAX(C7:C9))</f>
      </c>
      <c r="E10" s="105" t="s">
        <v>88</v>
      </c>
      <c r="F10" s="116">
        <f>Tablier!N101</f>
        <v>0</v>
      </c>
      <c r="V10" s="225" t="s">
        <v>280</v>
      </c>
      <c r="W10" s="159">
        <f>Général!$N$111</f>
        <v>0</v>
      </c>
    </row>
    <row r="11" spans="2:23" ht="12" customHeight="1">
      <c r="B11" s="99" t="s">
        <v>171</v>
      </c>
      <c r="C11" s="100">
        <f>Culées!$K$52</f>
      </c>
      <c r="E11" s="105" t="s">
        <v>196</v>
      </c>
      <c r="F11" s="107">
        <f>Tablier!N109</f>
        <v>0</v>
      </c>
      <c r="V11" s="226" t="s">
        <v>281</v>
      </c>
      <c r="W11" s="159">
        <f>Général!K115</f>
      </c>
    </row>
    <row r="12" spans="2:23" ht="12" customHeight="1">
      <c r="B12" s="101" t="s">
        <v>172</v>
      </c>
      <c r="C12" s="102">
        <f>Culées!$K$63</f>
        <v>0</v>
      </c>
      <c r="E12" s="105" t="s">
        <v>194</v>
      </c>
      <c r="F12" s="107">
        <f>Tablier!P117</f>
        <v>7</v>
      </c>
      <c r="V12" s="225" t="s">
        <v>282</v>
      </c>
      <c r="W12" s="159">
        <f>IF(OR(Général!$L$91=3,Général!$L$91=4),Tablier!$N$87,"-")</f>
      </c>
    </row>
    <row r="13" spans="2:23" ht="12" customHeight="1" thickBot="1">
      <c r="B13" s="108" t="s">
        <v>181</v>
      </c>
      <c r="C13" s="109">
        <f>IF(OR(C11="",C12=""),"",MAX(C11,C12))</f>
      </c>
      <c r="E13" s="112" t="s">
        <v>195</v>
      </c>
      <c r="F13" s="114">
        <f>Tablier!P126</f>
        <v>2</v>
      </c>
      <c r="V13" s="225" t="s">
        <v>283</v>
      </c>
      <c r="W13" s="159">
        <f>IF(OR(Général!$L$91=3,Général!$L$91=4),Tablier!$N$113,"-")</f>
      </c>
    </row>
    <row r="14" spans="2:23" ht="12" customHeight="1">
      <c r="B14" s="99" t="s">
        <v>173</v>
      </c>
      <c r="C14" s="100">
        <f>Piles!$K$55</f>
        <v>0</v>
      </c>
      <c r="V14" s="225" t="s">
        <v>284</v>
      </c>
      <c r="W14" s="159">
        <f>IF(OR(Général!$L$91=3,Général!$L$91=4),Tablier!$N$131,"-")</f>
        <v>0</v>
      </c>
    </row>
    <row r="15" spans="2:23" ht="12" customHeight="1">
      <c r="B15" s="101" t="s">
        <v>174</v>
      </c>
      <c r="C15" s="102">
        <f>Piles!$K$58</f>
        <v>0</v>
      </c>
      <c r="E15" s="121" t="s">
        <v>201</v>
      </c>
      <c r="F15" s="122"/>
      <c r="V15" s="226" t="s">
        <v>285</v>
      </c>
      <c r="W15" s="159">
        <f>IF(OR(W12="-",W13="-",W14="-"),"-",IF(OR(W12="",W13="",W14=""),"",MAX(W12:W14)))</f>
      </c>
    </row>
    <row r="16" spans="2:23" ht="12" customHeight="1" thickBot="1">
      <c r="B16" s="108" t="s">
        <v>182</v>
      </c>
      <c r="C16" s="115">
        <f>IF(OR(C14="",C15=""),"",MAX(C14,C15))</f>
        <v>0</v>
      </c>
      <c r="E16" s="105" t="s">
        <v>202</v>
      </c>
      <c r="F16" s="103">
        <f>Piles!L15</f>
        <v>2</v>
      </c>
      <c r="G16" s="103">
        <f>Piles!L17</f>
        <v>2</v>
      </c>
      <c r="H16" s="103">
        <f>Piles!L19</f>
        <v>2</v>
      </c>
      <c r="I16" s="103">
        <f>Piles!L21</f>
        <v>2</v>
      </c>
      <c r="J16" s="103">
        <f>Piles!L23</f>
        <v>2</v>
      </c>
      <c r="K16" s="103">
        <f>Piles!L25</f>
        <v>0</v>
      </c>
      <c r="L16" s="103">
        <f>Piles!L27</f>
        <v>0</v>
      </c>
      <c r="M16" s="103">
        <f>Piles!L29</f>
        <v>0</v>
      </c>
      <c r="N16" s="103">
        <f>Piles!L31</f>
        <v>0</v>
      </c>
      <c r="O16" s="103">
        <f>Piles!L33</f>
        <v>0</v>
      </c>
      <c r="P16" s="103">
        <f>Piles!L35</f>
        <v>0</v>
      </c>
      <c r="Q16" s="103">
        <f>Piles!L37</f>
        <v>0</v>
      </c>
      <c r="R16" s="104">
        <f>Piles!L39</f>
        <v>0</v>
      </c>
      <c r="V16" s="225" t="s">
        <v>286</v>
      </c>
      <c r="W16" s="159">
        <f>IF(Général!$L$91=5,"-",Culées!$K$52)</f>
      </c>
    </row>
    <row r="17" spans="2:23" ht="12" customHeight="1">
      <c r="B17" s="99" t="s">
        <v>175</v>
      </c>
      <c r="C17" s="100">
        <f>Env!$K$92</f>
        <v>0</v>
      </c>
      <c r="E17" s="105" t="s">
        <v>203</v>
      </c>
      <c r="F17" s="106">
        <f>Piles!M15</f>
        <v>2</v>
      </c>
      <c r="G17" s="113">
        <f>Piles!M17</f>
        <v>2</v>
      </c>
      <c r="H17" s="113">
        <f>Piles!M19</f>
        <v>2</v>
      </c>
      <c r="I17" s="113">
        <f>Piles!M21</f>
        <v>2</v>
      </c>
      <c r="J17" s="113">
        <f>Piles!M23</f>
        <v>2</v>
      </c>
      <c r="K17" s="113">
        <f>Piles!M25</f>
        <v>0</v>
      </c>
      <c r="L17" s="113">
        <f>Piles!M27</f>
        <v>0</v>
      </c>
      <c r="M17" s="113">
        <f>Piles!M29</f>
        <v>0</v>
      </c>
      <c r="N17" s="113">
        <f>Piles!M31</f>
        <v>0</v>
      </c>
      <c r="O17" s="113">
        <f>Piles!M33</f>
        <v>0</v>
      </c>
      <c r="P17" s="113">
        <f>Piles!M35</f>
        <v>0</v>
      </c>
      <c r="Q17" s="113">
        <f>Piles!M37</f>
        <v>0</v>
      </c>
      <c r="R17" s="114">
        <f>Piles!M39</f>
        <v>0</v>
      </c>
      <c r="V17" s="225" t="s">
        <v>287</v>
      </c>
      <c r="W17" s="159">
        <f>IF(Général!$L$91=5,"-",Culées!$K$63)</f>
        <v>0</v>
      </c>
    </row>
    <row r="18" spans="2:23" ht="12" customHeight="1">
      <c r="B18" s="101" t="s">
        <v>176</v>
      </c>
      <c r="C18" s="102">
        <f>Env!$K$102</f>
        <v>0</v>
      </c>
      <c r="E18" s="105" t="s">
        <v>204</v>
      </c>
      <c r="F18" s="107">
        <f>Piles!L42</f>
        <v>2</v>
      </c>
      <c r="G18" s="117"/>
      <c r="H18" s="117"/>
      <c r="I18" s="117"/>
      <c r="J18" s="117"/>
      <c r="K18" s="117"/>
      <c r="L18" s="117"/>
      <c r="M18" s="117"/>
      <c r="N18" s="117"/>
      <c r="O18" s="117"/>
      <c r="P18" s="117"/>
      <c r="Q18" s="117"/>
      <c r="R18" s="117"/>
      <c r="V18" s="226" t="s">
        <v>288</v>
      </c>
      <c r="W18" s="159">
        <f>IF(Général!L91=5,"-",IF(OR(W16="",W17=""),"",MAX(W16,W17)))</f>
      </c>
    </row>
    <row r="19" spans="2:23" ht="12" customHeight="1" thickBot="1">
      <c r="B19" s="108" t="s">
        <v>183</v>
      </c>
      <c r="C19" s="115">
        <f>IF(OR(C17="",C18=""),"",MAX(C17,C18))</f>
        <v>0</v>
      </c>
      <c r="E19" s="112" t="s">
        <v>205</v>
      </c>
      <c r="F19" s="114">
        <f>Piles!L49</f>
        <v>2</v>
      </c>
      <c r="G19" s="117"/>
      <c r="H19" s="117"/>
      <c r="I19" s="117"/>
      <c r="J19" s="117"/>
      <c r="K19" s="117"/>
      <c r="L19" s="117"/>
      <c r="M19" s="117"/>
      <c r="N19" s="117"/>
      <c r="O19" s="117"/>
      <c r="P19" s="117"/>
      <c r="Q19" s="117"/>
      <c r="R19" s="117"/>
      <c r="V19" s="225" t="s">
        <v>289</v>
      </c>
      <c r="W19" s="159">
        <f>IF(Résumé!$F$25="-","-",IF(Résumé!$F$25&gt;1,Piles!$K$55,"-"))</f>
        <v>0</v>
      </c>
    </row>
    <row r="20" spans="22:23" ht="12" customHeight="1" thickBot="1">
      <c r="V20" s="225" t="s">
        <v>290</v>
      </c>
      <c r="W20" s="159">
        <f>IF(Résumé!$F$25="-","-",IF(Résumé!$F$25&gt;1,Piles!$K$58,"-"))</f>
        <v>0</v>
      </c>
    </row>
    <row r="21" spans="2:23" ht="12" customHeight="1" thickBot="1">
      <c r="B21" s="127" t="s">
        <v>212</v>
      </c>
      <c r="C21" s="128" t="e">
        <f>Général!$K$119</f>
        <v>#VALUE!</v>
      </c>
      <c r="E21" s="121" t="s">
        <v>184</v>
      </c>
      <c r="F21" s="123"/>
      <c r="J21" s="121" t="s">
        <v>197</v>
      </c>
      <c r="K21" s="122"/>
      <c r="N21" s="121" t="s">
        <v>206</v>
      </c>
      <c r="O21" s="124"/>
      <c r="P21" s="122"/>
      <c r="V21" s="226" t="s">
        <v>291</v>
      </c>
      <c r="W21" s="159">
        <f>IF(OR(W19="-",W20="-"),"-",IF(OR(W19="",W20=""),"",MAX(W19,W20)))</f>
        <v>0</v>
      </c>
    </row>
    <row r="22" spans="5:23" ht="12" customHeight="1">
      <c r="E22" s="105" t="s">
        <v>31</v>
      </c>
      <c r="F22" s="116">
        <f>Général!$B$68</f>
        <v>0</v>
      </c>
      <c r="J22" s="105" t="s">
        <v>198</v>
      </c>
      <c r="K22" s="107">
        <f>Culées!L31</f>
        <v>8</v>
      </c>
      <c r="N22" s="105" t="s">
        <v>198</v>
      </c>
      <c r="O22" s="106"/>
      <c r="P22" s="107">
        <f>Env!L7</f>
        <v>2</v>
      </c>
      <c r="V22" s="226" t="s">
        <v>292</v>
      </c>
      <c r="W22" s="159" t="str">
        <f>IF(Général!$L$91=5,Voute!K25,"-")</f>
        <v>-</v>
      </c>
    </row>
    <row r="23" spans="2:23" ht="12" customHeight="1">
      <c r="B23" s="53"/>
      <c r="C23" s="53"/>
      <c r="E23" s="105" t="s">
        <v>185</v>
      </c>
      <c r="F23" s="116">
        <f>Général!$E$68</f>
        <v>0</v>
      </c>
      <c r="J23" s="105" t="s">
        <v>199</v>
      </c>
      <c r="K23" s="118">
        <f>Culées!K50</f>
        <v>0</v>
      </c>
      <c r="N23" s="105" t="s">
        <v>207</v>
      </c>
      <c r="O23" s="106"/>
      <c r="P23" s="107">
        <f>Env!L78</f>
        <v>0</v>
      </c>
      <c r="V23" s="226" t="s">
        <v>293</v>
      </c>
      <c r="W23" s="159" t="str">
        <f>IF(Général!$L$91=5,Voute!K44,"-")</f>
        <v>-</v>
      </c>
    </row>
    <row r="24" spans="2:23" ht="12" customHeight="1">
      <c r="B24" s="53"/>
      <c r="C24" s="53"/>
      <c r="E24" s="105" t="s">
        <v>32</v>
      </c>
      <c r="F24" s="155">
        <f>Général!$I$68</f>
        <v>0</v>
      </c>
      <c r="J24" s="112" t="s">
        <v>200</v>
      </c>
      <c r="K24" s="114">
        <f>Culées!L55</f>
        <v>5</v>
      </c>
      <c r="N24" s="112" t="s">
        <v>208</v>
      </c>
      <c r="O24" s="113"/>
      <c r="P24" s="114">
        <f>Env!L90</f>
        <v>0</v>
      </c>
      <c r="V24" s="226" t="s">
        <v>294</v>
      </c>
      <c r="W24" s="159" t="str">
        <f>IF(Général!$L$91=5,Voute!K47,IF(Général!$L$91=1,"","-"))</f>
        <v>-</v>
      </c>
    </row>
    <row r="25" spans="2:23" ht="12" customHeight="1">
      <c r="B25" s="53"/>
      <c r="C25" s="53"/>
      <c r="E25" s="105" t="s">
        <v>90</v>
      </c>
      <c r="F25" s="119">
        <f>IF(OR(Général!L91=3,Général!L91=4),Général!G100,"-")</f>
        <v>2</v>
      </c>
      <c r="I25" s="37">
        <f>Piles!P23</f>
      </c>
      <c r="V25" s="227" t="s">
        <v>355</v>
      </c>
      <c r="W25" s="156" t="e">
        <f>Général!$K$119</f>
        <v>#VALUE!</v>
      </c>
    </row>
    <row r="26" spans="2:23" ht="12" customHeight="1">
      <c r="B26" s="53"/>
      <c r="C26" s="53"/>
      <c r="E26" s="105" t="s">
        <v>76</v>
      </c>
      <c r="F26" s="116">
        <f>Tablier!N5*0.9</f>
        <v>0</v>
      </c>
      <c r="V26" s="227" t="s">
        <v>356</v>
      </c>
      <c r="W26" s="159">
        <f>Env!$K$19</f>
        <v>1</v>
      </c>
    </row>
    <row r="27" spans="5:23" ht="12" customHeight="1">
      <c r="E27" s="112" t="s">
        <v>68</v>
      </c>
      <c r="F27" s="120">
        <f>Tablier!P102</f>
        <v>0</v>
      </c>
      <c r="J27" s="199"/>
      <c r="L27" s="196">
        <f>Env!C88</f>
        <v>0</v>
      </c>
      <c r="V27" s="227" t="s">
        <v>357</v>
      </c>
      <c r="W27" s="159">
        <f>Env!$K$23</f>
        <v>1</v>
      </c>
    </row>
    <row r="28" spans="22:23" ht="12" customHeight="1">
      <c r="V28" s="227" t="s">
        <v>358</v>
      </c>
      <c r="W28" s="159">
        <f>Env!$K$86</f>
        <v>0.7</v>
      </c>
    </row>
    <row r="29" spans="8:23" ht="12" customHeight="1">
      <c r="H29" s="197"/>
      <c r="I29" s="195"/>
      <c r="J29" s="195"/>
      <c r="L29" s="198">
        <f>Env!C98</f>
        <v>0</v>
      </c>
      <c r="V29" s="285" t="s">
        <v>373</v>
      </c>
      <c r="W29" s="286"/>
    </row>
    <row r="30" spans="8:23" ht="12" customHeight="1">
      <c r="H30" s="197"/>
      <c r="I30" s="195"/>
      <c r="J30" s="195"/>
      <c r="L30" s="198"/>
      <c r="V30" s="225" t="s">
        <v>249</v>
      </c>
      <c r="W30" s="158"/>
    </row>
    <row r="31" spans="22:23" ht="15.75" customHeight="1">
      <c r="V31" s="225" t="s">
        <v>244</v>
      </c>
      <c r="W31" s="158"/>
    </row>
    <row r="32" spans="22:23" ht="15.75" customHeight="1">
      <c r="V32" s="225" t="s">
        <v>250</v>
      </c>
      <c r="W32" s="284"/>
    </row>
    <row r="33" spans="22:23" ht="15.75" customHeight="1">
      <c r="V33" s="225" t="s">
        <v>251</v>
      </c>
      <c r="W33" s="158"/>
    </row>
    <row r="34" spans="22:23" ht="15.75" customHeight="1">
      <c r="V34" s="225" t="s">
        <v>252</v>
      </c>
      <c r="W34" s="158"/>
    </row>
    <row r="35" spans="22:23" ht="15.75" customHeight="1">
      <c r="V35" s="225" t="s">
        <v>263</v>
      </c>
      <c r="W35" s="158"/>
    </row>
    <row r="36" spans="22:23" ht="15.75" customHeight="1">
      <c r="V36" s="253"/>
      <c r="W36" s="254"/>
    </row>
    <row r="37" spans="22:23" ht="15.75" customHeight="1">
      <c r="V37" s="290" t="s">
        <v>380</v>
      </c>
      <c r="W37" s="290">
        <f aca="true" t="shared" si="0" ref="W37:W42">W1</f>
        <v>0</v>
      </c>
    </row>
    <row r="38" spans="22:23" ht="15.75" customHeight="1">
      <c r="V38" s="225" t="s">
        <v>248</v>
      </c>
      <c r="W38" s="290">
        <f t="shared" si="0"/>
        <v>0</v>
      </c>
    </row>
    <row r="39" spans="22:23" ht="15.75" customHeight="1">
      <c r="V39" s="225" t="s">
        <v>486</v>
      </c>
      <c r="W39" s="291">
        <f t="shared" si="0"/>
        <v>0</v>
      </c>
    </row>
    <row r="40" spans="22:23" ht="15.75" customHeight="1">
      <c r="V40" s="225" t="s">
        <v>489</v>
      </c>
      <c r="W40" s="291">
        <f t="shared" si="0"/>
        <v>0</v>
      </c>
    </row>
    <row r="41" spans="22:23" ht="15.75" customHeight="1">
      <c r="V41" s="225" t="s">
        <v>484</v>
      </c>
      <c r="W41" s="291">
        <f t="shared" si="0"/>
        <v>0</v>
      </c>
    </row>
    <row r="42" spans="22:23" ht="15.75" customHeight="1">
      <c r="V42" s="225" t="s">
        <v>490</v>
      </c>
      <c r="W42" s="291">
        <f t="shared" si="0"/>
        <v>0</v>
      </c>
    </row>
    <row r="43" spans="22:23" ht="15.75" customHeight="1">
      <c r="V43" s="292" t="s">
        <v>363</v>
      </c>
      <c r="W43" s="293">
        <f>Général!M48</f>
        <v>1</v>
      </c>
    </row>
    <row r="44" spans="22:23" ht="15.75" customHeight="1">
      <c r="V44" s="294" t="s">
        <v>381</v>
      </c>
      <c r="W44" s="294">
        <f>Général!L78</f>
        <v>1</v>
      </c>
    </row>
    <row r="45" spans="22:23" ht="15.75" customHeight="1">
      <c r="V45" s="294" t="s">
        <v>382</v>
      </c>
      <c r="W45" s="294">
        <f>Général!L91</f>
        <v>3</v>
      </c>
    </row>
    <row r="46" spans="22:23" ht="15.75" customHeight="1">
      <c r="V46" s="294" t="s">
        <v>383</v>
      </c>
      <c r="W46" s="295">
        <f>Général!G100</f>
        <v>2</v>
      </c>
    </row>
    <row r="47" spans="22:23" ht="15.75" customHeight="1">
      <c r="V47" s="294" t="s">
        <v>384</v>
      </c>
      <c r="W47" s="294">
        <f>Général!L105</f>
        <v>2</v>
      </c>
    </row>
    <row r="48" spans="22:23" ht="15.75" customHeight="1">
      <c r="V48" s="233" t="s">
        <v>385</v>
      </c>
      <c r="W48" s="296">
        <f>Voute!K16</f>
        <v>0</v>
      </c>
    </row>
    <row r="49" spans="22:23" ht="15.75" customHeight="1">
      <c r="V49" s="233" t="s">
        <v>386</v>
      </c>
      <c r="W49" s="296">
        <f>Voute!K18</f>
        <v>0</v>
      </c>
    </row>
    <row r="50" spans="22:23" ht="15.75" customHeight="1">
      <c r="V50" s="233" t="s">
        <v>387</v>
      </c>
      <c r="W50" s="233">
        <f>Voute!K32</f>
        <v>0</v>
      </c>
    </row>
    <row r="51" spans="22:23" ht="15.75" customHeight="1">
      <c r="V51" s="233" t="s">
        <v>388</v>
      </c>
      <c r="W51" s="233">
        <f>Voute!K34</f>
        <v>0</v>
      </c>
    </row>
    <row r="52" spans="22:23" ht="15.75" customHeight="1">
      <c r="V52" s="233" t="s">
        <v>389</v>
      </c>
      <c r="W52" s="233">
        <f>Voute!K38</f>
        <v>0</v>
      </c>
    </row>
    <row r="53" spans="22:23" ht="15.75" customHeight="1">
      <c r="V53" s="233" t="s">
        <v>390</v>
      </c>
      <c r="W53" s="233">
        <f>Voute!O40</f>
        <v>1</v>
      </c>
    </row>
    <row r="54" spans="22:23" ht="15.75" customHeight="1">
      <c r="V54" s="300" t="s">
        <v>391</v>
      </c>
      <c r="W54" s="300">
        <f>Tablier!N5</f>
        <v>0</v>
      </c>
    </row>
    <row r="55" spans="22:23" ht="15.75" customHeight="1">
      <c r="V55" s="300" t="s">
        <v>392</v>
      </c>
      <c r="W55" s="300">
        <f>Tablier!P13</f>
        <v>3</v>
      </c>
    </row>
    <row r="56" spans="22:23" ht="15.75" customHeight="1">
      <c r="V56" s="300" t="s">
        <v>393</v>
      </c>
      <c r="W56" s="300">
        <f>Tablier!E47</f>
        <v>0</v>
      </c>
    </row>
    <row r="57" spans="22:23" ht="15.75" customHeight="1">
      <c r="V57" s="300" t="s">
        <v>394</v>
      </c>
      <c r="W57" s="300">
        <f>Tablier!E49</f>
        <v>0</v>
      </c>
    </row>
    <row r="58" spans="22:23" ht="15.75" customHeight="1">
      <c r="V58" s="300" t="s">
        <v>395</v>
      </c>
      <c r="W58" s="300">
        <f>Tablier!E51</f>
        <v>0</v>
      </c>
    </row>
    <row r="59" spans="22:23" ht="15.75" customHeight="1">
      <c r="V59" s="300" t="s">
        <v>396</v>
      </c>
      <c r="W59" s="300">
        <f>Tablier!E53</f>
        <v>0</v>
      </c>
    </row>
    <row r="60" spans="22:23" ht="15.75" customHeight="1">
      <c r="V60" s="300" t="s">
        <v>397</v>
      </c>
      <c r="W60" s="300">
        <f>Tablier!E55</f>
        <v>0</v>
      </c>
    </row>
    <row r="61" spans="22:23" ht="15.75" customHeight="1">
      <c r="V61" s="300" t="s">
        <v>398</v>
      </c>
      <c r="W61" s="300">
        <f>Tablier!E57</f>
        <v>0</v>
      </c>
    </row>
    <row r="62" spans="22:23" ht="15.75" customHeight="1">
      <c r="V62" s="300" t="s">
        <v>399</v>
      </c>
      <c r="W62" s="300">
        <f>Tablier!E59</f>
        <v>0</v>
      </c>
    </row>
    <row r="63" spans="22:23" ht="15.75" customHeight="1">
      <c r="V63" s="300" t="s">
        <v>400</v>
      </c>
      <c r="W63" s="300">
        <f>Tablier!E61</f>
        <v>0</v>
      </c>
    </row>
    <row r="64" spans="22:23" ht="15.75" customHeight="1">
      <c r="V64" s="300" t="s">
        <v>401</v>
      </c>
      <c r="W64" s="300">
        <f>Tablier!E63</f>
        <v>0</v>
      </c>
    </row>
    <row r="65" spans="22:23" ht="15.75" customHeight="1">
      <c r="V65" s="300" t="s">
        <v>402</v>
      </c>
      <c r="W65" s="300">
        <f>Tablier!E65</f>
        <v>0</v>
      </c>
    </row>
    <row r="66" spans="22:23" ht="15.75" customHeight="1">
      <c r="V66" s="300" t="s">
        <v>403</v>
      </c>
      <c r="W66" s="300">
        <f>Tablier!E67</f>
        <v>0</v>
      </c>
    </row>
    <row r="67" spans="22:23" ht="15.75" customHeight="1">
      <c r="V67" s="300" t="s">
        <v>404</v>
      </c>
      <c r="W67" s="300">
        <f>Tablier!E69</f>
        <v>0</v>
      </c>
    </row>
    <row r="68" spans="22:23" ht="15.75" customHeight="1">
      <c r="V68" s="300" t="s">
        <v>405</v>
      </c>
      <c r="W68" s="300">
        <f>Tablier!G46</f>
        <v>0</v>
      </c>
    </row>
    <row r="69" spans="22:23" ht="15.75" customHeight="1">
      <c r="V69" s="300" t="s">
        <v>406</v>
      </c>
      <c r="W69" s="300">
        <f>Tablier!G48</f>
        <v>0</v>
      </c>
    </row>
    <row r="70" spans="22:23" ht="15.75" customHeight="1">
      <c r="V70" s="300" t="s">
        <v>407</v>
      </c>
      <c r="W70" s="300">
        <f>Tablier!G50</f>
        <v>0</v>
      </c>
    </row>
    <row r="71" spans="22:23" ht="15.75" customHeight="1">
      <c r="V71" s="300" t="s">
        <v>408</v>
      </c>
      <c r="W71" s="300">
        <f>Tablier!G52</f>
        <v>0</v>
      </c>
    </row>
    <row r="72" spans="22:23" ht="15.75" customHeight="1">
      <c r="V72" s="300" t="s">
        <v>409</v>
      </c>
      <c r="W72" s="300">
        <f>Tablier!G54</f>
        <v>0</v>
      </c>
    </row>
    <row r="73" spans="22:23" ht="15.75" customHeight="1">
      <c r="V73" s="300" t="s">
        <v>410</v>
      </c>
      <c r="W73" s="300">
        <f>Tablier!G56</f>
        <v>0</v>
      </c>
    </row>
    <row r="74" spans="22:23" ht="15.75" customHeight="1">
      <c r="V74" s="300" t="s">
        <v>411</v>
      </c>
      <c r="W74" s="300">
        <f>Tablier!G58</f>
        <v>0</v>
      </c>
    </row>
    <row r="75" spans="22:23" ht="15.75" customHeight="1">
      <c r="V75" s="300" t="s">
        <v>412</v>
      </c>
      <c r="W75" s="300">
        <f>Tablier!G60</f>
        <v>0</v>
      </c>
    </row>
    <row r="76" spans="22:23" ht="15.75" customHeight="1">
      <c r="V76" s="300" t="s">
        <v>413</v>
      </c>
      <c r="W76" s="300">
        <f>Tablier!G62</f>
        <v>0</v>
      </c>
    </row>
    <row r="77" spans="22:23" ht="15.75" customHeight="1">
      <c r="V77" s="300" t="s">
        <v>414</v>
      </c>
      <c r="W77" s="300">
        <f>Tablier!G64</f>
        <v>0</v>
      </c>
    </row>
    <row r="78" spans="22:23" ht="15.75" customHeight="1">
      <c r="V78" s="300" t="s">
        <v>415</v>
      </c>
      <c r="W78" s="300">
        <f>Tablier!G66</f>
        <v>0</v>
      </c>
    </row>
    <row r="79" spans="22:23" ht="15.75" customHeight="1">
      <c r="V79" s="300" t="s">
        <v>416</v>
      </c>
      <c r="W79" s="300">
        <f>Tablier!G68</f>
        <v>0</v>
      </c>
    </row>
    <row r="80" spans="22:23" ht="15.75" customHeight="1">
      <c r="V80" s="300" t="s">
        <v>417</v>
      </c>
      <c r="W80" s="300">
        <f>Tablier!G70</f>
        <v>0</v>
      </c>
    </row>
    <row r="81" spans="22:23" ht="15.75" customHeight="1">
      <c r="V81" s="300" t="s">
        <v>418</v>
      </c>
      <c r="W81" s="300">
        <f>Tablier!K46</f>
        <v>0</v>
      </c>
    </row>
    <row r="82" spans="22:23" ht="15.75" customHeight="1">
      <c r="V82" s="300" t="s">
        <v>419</v>
      </c>
      <c r="W82" s="300">
        <f>Tablier!K48</f>
        <v>0</v>
      </c>
    </row>
    <row r="83" spans="22:23" ht="15.75" customHeight="1">
      <c r="V83" s="300" t="s">
        <v>420</v>
      </c>
      <c r="W83" s="300">
        <f>Tablier!K50</f>
        <v>0</v>
      </c>
    </row>
    <row r="84" spans="22:23" ht="15.75" customHeight="1">
      <c r="V84" s="300" t="s">
        <v>421</v>
      </c>
      <c r="W84" s="300">
        <f>Tablier!K52</f>
        <v>0</v>
      </c>
    </row>
    <row r="85" spans="22:23" ht="15.75" customHeight="1">
      <c r="V85" s="300" t="s">
        <v>422</v>
      </c>
      <c r="W85" s="300">
        <f>Tablier!K54</f>
        <v>0</v>
      </c>
    </row>
    <row r="86" spans="22:23" ht="15.75" customHeight="1">
      <c r="V86" s="300" t="s">
        <v>423</v>
      </c>
      <c r="W86" s="300">
        <f>Tablier!K56</f>
        <v>0</v>
      </c>
    </row>
    <row r="87" spans="22:23" ht="15.75" customHeight="1">
      <c r="V87" s="300" t="s">
        <v>424</v>
      </c>
      <c r="W87" s="300">
        <f>Tablier!K58</f>
        <v>0</v>
      </c>
    </row>
    <row r="88" spans="22:23" ht="15.75" customHeight="1">
      <c r="V88" s="300" t="s">
        <v>425</v>
      </c>
      <c r="W88" s="300">
        <f>Tablier!K60</f>
        <v>0</v>
      </c>
    </row>
    <row r="89" spans="22:23" ht="15.75" customHeight="1">
      <c r="V89" s="300" t="s">
        <v>426</v>
      </c>
      <c r="W89" s="300">
        <f>Tablier!K62</f>
        <v>0</v>
      </c>
    </row>
    <row r="90" spans="22:23" ht="15.75" customHeight="1">
      <c r="V90" s="300" t="s">
        <v>427</v>
      </c>
      <c r="W90" s="300">
        <f>Tablier!K64</f>
        <v>0</v>
      </c>
    </row>
    <row r="91" spans="22:23" ht="15.75" customHeight="1">
      <c r="V91" s="300" t="s">
        <v>428</v>
      </c>
      <c r="W91" s="300">
        <f>Tablier!K66</f>
        <v>0</v>
      </c>
    </row>
    <row r="92" spans="22:23" ht="15.75" customHeight="1">
      <c r="V92" s="300" t="s">
        <v>429</v>
      </c>
      <c r="W92" s="300">
        <f>Tablier!K68</f>
        <v>0</v>
      </c>
    </row>
    <row r="93" spans="22:23" ht="15.75" customHeight="1">
      <c r="V93" s="300" t="s">
        <v>430</v>
      </c>
      <c r="W93" s="300">
        <f>Tablier!K70</f>
        <v>0</v>
      </c>
    </row>
    <row r="94" spans="22:23" ht="15.75" customHeight="1">
      <c r="V94" s="300" t="s">
        <v>431</v>
      </c>
      <c r="W94" s="300">
        <f>Tablier!M46</f>
        <v>0</v>
      </c>
    </row>
    <row r="95" spans="22:23" ht="15.75" customHeight="1">
      <c r="V95" s="300" t="s">
        <v>432</v>
      </c>
      <c r="W95" s="300">
        <f>Tablier!M48</f>
        <v>0</v>
      </c>
    </row>
    <row r="96" spans="22:23" ht="15.75" customHeight="1">
      <c r="V96" s="300" t="s">
        <v>433</v>
      </c>
      <c r="W96" s="300">
        <f>Tablier!M50</f>
        <v>0</v>
      </c>
    </row>
    <row r="97" spans="22:23" ht="15.75" customHeight="1">
      <c r="V97" s="300" t="s">
        <v>434</v>
      </c>
      <c r="W97" s="300">
        <f>Tablier!M52</f>
        <v>0</v>
      </c>
    </row>
    <row r="98" spans="22:23" ht="15.75" customHeight="1">
      <c r="V98" s="300" t="s">
        <v>435</v>
      </c>
      <c r="W98" s="300">
        <f>Tablier!M54</f>
        <v>0</v>
      </c>
    </row>
    <row r="99" spans="22:23" ht="15.75" customHeight="1">
      <c r="V99" s="300" t="s">
        <v>436</v>
      </c>
      <c r="W99" s="300">
        <f>Tablier!M56</f>
        <v>0</v>
      </c>
    </row>
    <row r="100" spans="22:23" ht="15.75" customHeight="1">
      <c r="V100" s="300" t="s">
        <v>437</v>
      </c>
      <c r="W100" s="300">
        <f>Tablier!M58</f>
        <v>0</v>
      </c>
    </row>
    <row r="101" spans="22:23" ht="15.75" customHeight="1">
      <c r="V101" s="300" t="s">
        <v>438</v>
      </c>
      <c r="W101" s="300">
        <f>Tablier!M60</f>
        <v>0</v>
      </c>
    </row>
    <row r="102" spans="22:23" ht="15.75" customHeight="1">
      <c r="V102" s="300" t="s">
        <v>439</v>
      </c>
      <c r="W102" s="300">
        <f>Tablier!M62</f>
        <v>0</v>
      </c>
    </row>
    <row r="103" spans="22:23" ht="15.75" customHeight="1">
      <c r="V103" s="300" t="s">
        <v>440</v>
      </c>
      <c r="W103" s="300">
        <f>Tablier!M64</f>
        <v>0</v>
      </c>
    </row>
    <row r="104" spans="22:23" ht="15.75" customHeight="1">
      <c r="V104" s="300" t="s">
        <v>441</v>
      </c>
      <c r="W104" s="300">
        <f>Tablier!M66</f>
        <v>0</v>
      </c>
    </row>
    <row r="105" spans="22:23" ht="15.75" customHeight="1">
      <c r="V105" s="300" t="s">
        <v>442</v>
      </c>
      <c r="W105" s="300">
        <f>Tablier!M68</f>
        <v>0</v>
      </c>
    </row>
    <row r="106" spans="22:23" ht="15.75" customHeight="1">
      <c r="V106" s="300" t="s">
        <v>443</v>
      </c>
      <c r="W106" s="300">
        <f>Tablier!M70</f>
        <v>0</v>
      </c>
    </row>
    <row r="107" spans="22:23" ht="15.75" customHeight="1">
      <c r="V107" s="300" t="s">
        <v>444</v>
      </c>
      <c r="W107" s="300">
        <f>Tablier!P91</f>
        <v>2</v>
      </c>
    </row>
    <row r="108" spans="22:23" ht="15.75" customHeight="1">
      <c r="V108" s="300" t="s">
        <v>445</v>
      </c>
      <c r="W108" s="300">
        <f>Tablier!N101</f>
        <v>0</v>
      </c>
    </row>
    <row r="109" spans="22:23" ht="15.75" customHeight="1">
      <c r="V109" s="300" t="s">
        <v>362</v>
      </c>
      <c r="W109" s="300">
        <f>Tablier!N109</f>
        <v>0</v>
      </c>
    </row>
    <row r="110" spans="22:23" ht="15.75" customHeight="1">
      <c r="V110" s="300" t="s">
        <v>446</v>
      </c>
      <c r="W110" s="300">
        <f>Tablier!P117</f>
        <v>7</v>
      </c>
    </row>
    <row r="111" spans="22:23" ht="15.75" customHeight="1">
      <c r="V111" s="300" t="s">
        <v>447</v>
      </c>
      <c r="W111" s="300">
        <f>Tablier!P126</f>
        <v>2</v>
      </c>
    </row>
    <row r="112" spans="22:23" ht="15.75" customHeight="1">
      <c r="V112" s="297" t="s">
        <v>448</v>
      </c>
      <c r="W112" s="297">
        <f>Culées!L31</f>
        <v>8</v>
      </c>
    </row>
    <row r="113" spans="22:23" ht="15.75" customHeight="1">
      <c r="V113" s="297" t="s">
        <v>199</v>
      </c>
      <c r="W113" s="298">
        <f>Culées!K50</f>
        <v>0</v>
      </c>
    </row>
    <row r="114" spans="22:23" ht="15.75" customHeight="1">
      <c r="V114" s="297" t="s">
        <v>449</v>
      </c>
      <c r="W114" s="297">
        <f>Culées!L55</f>
        <v>5</v>
      </c>
    </row>
    <row r="115" spans="22:23" ht="15.75" customHeight="1">
      <c r="V115" s="299" t="s">
        <v>450</v>
      </c>
      <c r="W115" s="299">
        <f>Piles!L15</f>
        <v>2</v>
      </c>
    </row>
    <row r="116" spans="22:23" ht="15.75" customHeight="1">
      <c r="V116" s="299" t="s">
        <v>451</v>
      </c>
      <c r="W116" s="299">
        <f>Piles!L17</f>
        <v>2</v>
      </c>
    </row>
    <row r="117" spans="22:23" ht="15.75" customHeight="1">
      <c r="V117" s="299" t="s">
        <v>452</v>
      </c>
      <c r="W117" s="299">
        <f>Piles!L19</f>
        <v>2</v>
      </c>
    </row>
    <row r="118" spans="22:23" ht="15.75" customHeight="1">
      <c r="V118" s="299" t="s">
        <v>453</v>
      </c>
      <c r="W118" s="299">
        <f>Piles!L21</f>
        <v>2</v>
      </c>
    </row>
    <row r="119" spans="22:23" ht="15.75" customHeight="1">
      <c r="V119" s="299" t="s">
        <v>454</v>
      </c>
      <c r="W119" s="299">
        <f>Piles!L23</f>
        <v>2</v>
      </c>
    </row>
    <row r="120" spans="22:23" ht="15.75" customHeight="1">
      <c r="V120" s="299" t="s">
        <v>455</v>
      </c>
      <c r="W120" s="299">
        <f>Piles!L25</f>
        <v>0</v>
      </c>
    </row>
    <row r="121" spans="22:23" ht="15.75" customHeight="1">
      <c r="V121" s="299" t="s">
        <v>456</v>
      </c>
      <c r="W121" s="299">
        <f>Piles!L27</f>
        <v>0</v>
      </c>
    </row>
    <row r="122" spans="22:23" ht="15.75" customHeight="1">
      <c r="V122" s="299" t="s">
        <v>457</v>
      </c>
      <c r="W122" s="299">
        <f>Piles!L29</f>
        <v>0</v>
      </c>
    </row>
    <row r="123" spans="22:23" ht="15.75" customHeight="1">
      <c r="V123" s="299" t="s">
        <v>458</v>
      </c>
      <c r="W123" s="299">
        <f>Piles!L31</f>
        <v>0</v>
      </c>
    </row>
    <row r="124" spans="22:23" ht="15.75" customHeight="1">
      <c r="V124" s="299" t="s">
        <v>459</v>
      </c>
      <c r="W124" s="299">
        <f>Piles!L33</f>
        <v>0</v>
      </c>
    </row>
    <row r="125" spans="22:23" ht="15.75" customHeight="1">
      <c r="V125" s="299" t="s">
        <v>460</v>
      </c>
      <c r="W125" s="299">
        <f>Piles!L35</f>
        <v>0</v>
      </c>
    </row>
    <row r="126" spans="22:23" ht="15.75" customHeight="1">
      <c r="V126" s="299" t="s">
        <v>461</v>
      </c>
      <c r="W126" s="299">
        <f>Piles!L37</f>
        <v>0</v>
      </c>
    </row>
    <row r="127" spans="22:23" ht="15.75" customHeight="1">
      <c r="V127" s="299" t="s">
        <v>462</v>
      </c>
      <c r="W127" s="299">
        <f>Piles!L39</f>
        <v>0</v>
      </c>
    </row>
    <row r="128" spans="22:23" ht="15.75" customHeight="1">
      <c r="V128" s="299" t="s">
        <v>463</v>
      </c>
      <c r="W128" s="299">
        <f>Piles!M15</f>
        <v>2</v>
      </c>
    </row>
    <row r="129" spans="22:23" ht="15.75" customHeight="1">
      <c r="V129" s="299" t="s">
        <v>464</v>
      </c>
      <c r="W129" s="299">
        <f>Piles!M17</f>
        <v>2</v>
      </c>
    </row>
    <row r="130" spans="22:23" ht="15.75" customHeight="1">
      <c r="V130" s="299" t="s">
        <v>465</v>
      </c>
      <c r="W130" s="299">
        <f>Piles!M19</f>
        <v>2</v>
      </c>
    </row>
    <row r="131" spans="22:23" ht="15.75" customHeight="1">
      <c r="V131" s="299" t="s">
        <v>466</v>
      </c>
      <c r="W131" s="299">
        <f>Piles!M21</f>
        <v>2</v>
      </c>
    </row>
    <row r="132" spans="22:23" ht="15.75" customHeight="1">
      <c r="V132" s="299" t="s">
        <v>467</v>
      </c>
      <c r="W132" s="299">
        <f>Piles!M23</f>
        <v>2</v>
      </c>
    </row>
    <row r="133" spans="22:23" ht="15.75" customHeight="1">
      <c r="V133" s="299" t="s">
        <v>468</v>
      </c>
      <c r="W133" s="299">
        <f>Piles!M25</f>
        <v>0</v>
      </c>
    </row>
    <row r="134" spans="22:23" ht="15.75" customHeight="1">
      <c r="V134" s="299" t="s">
        <v>469</v>
      </c>
      <c r="W134" s="299">
        <f>Piles!M27</f>
        <v>0</v>
      </c>
    </row>
    <row r="135" spans="22:23" ht="15.75" customHeight="1">
      <c r="V135" s="299" t="s">
        <v>470</v>
      </c>
      <c r="W135" s="299">
        <f>Piles!M29</f>
        <v>0</v>
      </c>
    </row>
    <row r="136" spans="22:23" ht="15.75" customHeight="1">
      <c r="V136" s="299" t="s">
        <v>471</v>
      </c>
      <c r="W136" s="299">
        <f>Piles!M31</f>
        <v>0</v>
      </c>
    </row>
    <row r="137" spans="22:23" ht="15.75" customHeight="1">
      <c r="V137" s="299" t="s">
        <v>472</v>
      </c>
      <c r="W137" s="299">
        <f>Piles!M33</f>
        <v>0</v>
      </c>
    </row>
    <row r="138" spans="22:23" ht="15.75" customHeight="1">
      <c r="V138" s="299" t="s">
        <v>473</v>
      </c>
      <c r="W138" s="299">
        <f>Piles!M35</f>
        <v>0</v>
      </c>
    </row>
    <row r="139" spans="22:23" ht="15.75" customHeight="1">
      <c r="V139" s="299" t="s">
        <v>474</v>
      </c>
      <c r="W139" s="299">
        <f>Piles!M37</f>
        <v>0</v>
      </c>
    </row>
    <row r="140" spans="22:23" ht="15.75" customHeight="1">
      <c r="V140" s="299" t="s">
        <v>475</v>
      </c>
      <c r="W140" s="299">
        <f>Piles!M39</f>
        <v>0</v>
      </c>
    </row>
    <row r="141" spans="22:23" ht="15.75" customHeight="1">
      <c r="V141" s="299" t="s">
        <v>495</v>
      </c>
      <c r="W141" s="299">
        <f>Piles!L42</f>
        <v>2</v>
      </c>
    </row>
    <row r="142" spans="22:23" ht="15.75" customHeight="1">
      <c r="V142" s="299" t="s">
        <v>476</v>
      </c>
      <c r="W142" s="299">
        <f>Piles!L49</f>
        <v>2</v>
      </c>
    </row>
    <row r="143" spans="22:23" ht="15.75" customHeight="1">
      <c r="V143" s="301" t="s">
        <v>477</v>
      </c>
      <c r="W143" s="301">
        <f>Env!L7</f>
        <v>2</v>
      </c>
    </row>
    <row r="144" spans="22:23" ht="15.75" customHeight="1">
      <c r="V144" s="301" t="s">
        <v>478</v>
      </c>
      <c r="W144" s="301" t="b">
        <f>Env!M16</f>
        <v>0</v>
      </c>
    </row>
    <row r="145" spans="22:23" ht="15.75" customHeight="1">
      <c r="V145" s="301" t="s">
        <v>479</v>
      </c>
      <c r="W145" s="301">
        <f>Env!L34</f>
        <v>2</v>
      </c>
    </row>
    <row r="146" spans="22:23" ht="15.75" customHeight="1">
      <c r="V146" s="301" t="s">
        <v>480</v>
      </c>
      <c r="W146" s="301">
        <f>Env!L43</f>
        <v>2</v>
      </c>
    </row>
    <row r="147" spans="22:23" ht="15.75" customHeight="1">
      <c r="V147" s="301" t="s">
        <v>481</v>
      </c>
      <c r="W147" s="301">
        <f>Env!L57</f>
        <v>3</v>
      </c>
    </row>
    <row r="148" spans="22:23" ht="15.75" customHeight="1">
      <c r="V148" s="301" t="s">
        <v>482</v>
      </c>
      <c r="W148" s="301">
        <f>Env!L62</f>
        <v>3</v>
      </c>
    </row>
    <row r="149" spans="22:23" ht="15.75" customHeight="1">
      <c r="V149" s="301" t="s">
        <v>368</v>
      </c>
      <c r="W149" s="301">
        <f>Env!L92</f>
        <v>2</v>
      </c>
    </row>
    <row r="150" spans="22:23" ht="15.75" customHeight="1">
      <c r="V150" s="302"/>
      <c r="W150" s="302"/>
    </row>
  </sheetData>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Feuil9"/>
  <dimension ref="A1:IV4"/>
  <sheetViews>
    <sheetView workbookViewId="0" topLeftCell="A1">
      <selection activeCell="B7" sqref="B7"/>
    </sheetView>
  </sheetViews>
  <sheetFormatPr defaultColWidth="11.421875" defaultRowHeight="19.5" customHeight="1"/>
  <cols>
    <col min="1" max="1" width="13.28125" style="313" customWidth="1"/>
    <col min="2" max="2" width="9.421875" style="310" customWidth="1"/>
    <col min="3" max="5" width="12.421875" style="310" customWidth="1"/>
    <col min="6" max="6" width="13.28125" style="310" customWidth="1"/>
    <col min="7" max="7" width="13.8515625" style="310" customWidth="1"/>
    <col min="8" max="8" width="5.7109375" style="310" customWidth="1"/>
    <col min="9" max="9" width="9.00390625" style="310" customWidth="1"/>
    <col min="10" max="10" width="10.57421875" style="310" customWidth="1"/>
    <col min="11" max="11" width="9.7109375" style="310" customWidth="1"/>
    <col min="12" max="12" width="5.7109375" style="310" customWidth="1"/>
    <col min="13" max="13" width="7.8515625" style="310" customWidth="1"/>
    <col min="14" max="14" width="8.140625" style="310" customWidth="1"/>
    <col min="15" max="15" width="8.28125" style="310" customWidth="1"/>
    <col min="16" max="16" width="7.00390625" style="310" customWidth="1"/>
    <col min="17" max="17" width="7.140625" style="310" customWidth="1"/>
    <col min="18" max="18" width="7.140625" style="314" customWidth="1"/>
    <col min="19" max="22" width="7.140625" style="310" customWidth="1"/>
    <col min="23" max="16384" width="13.57421875" style="310" customWidth="1"/>
  </cols>
  <sheetData>
    <row r="1" spans="1:256" ht="11.25" customHeight="1">
      <c r="A1" s="309"/>
      <c r="R1" s="311"/>
      <c r="IQ1"/>
      <c r="IR1"/>
      <c r="IS1"/>
      <c r="IT1"/>
      <c r="IU1"/>
      <c r="IV1"/>
    </row>
    <row r="2" spans="1:255" s="333" customFormat="1" ht="19.5" customHeight="1">
      <c r="A2" s="315"/>
      <c r="B2" s="316"/>
      <c r="C2" s="317"/>
      <c r="D2" s="317"/>
      <c r="E2" s="317"/>
      <c r="F2" s="317"/>
      <c r="G2" s="318"/>
      <c r="H2" s="319"/>
      <c r="I2" s="319"/>
      <c r="J2" s="319"/>
      <c r="K2" s="320"/>
      <c r="L2" s="321"/>
      <c r="M2" s="321"/>
      <c r="N2" s="321"/>
      <c r="O2" s="322"/>
      <c r="P2" s="323"/>
      <c r="Q2" s="323"/>
      <c r="R2" s="324"/>
      <c r="S2" s="325"/>
      <c r="T2" s="325"/>
      <c r="U2" s="326"/>
      <c r="V2" s="327"/>
      <c r="W2" s="327"/>
      <c r="X2" s="328"/>
      <c r="Y2" s="329"/>
      <c r="Z2" s="330"/>
      <c r="AA2" s="330"/>
      <c r="AB2" s="330"/>
      <c r="AC2" s="315"/>
      <c r="AD2" s="315"/>
      <c r="AE2" s="315"/>
      <c r="AF2" s="315"/>
      <c r="AG2" s="315"/>
      <c r="AH2" s="315"/>
      <c r="AI2" s="315"/>
      <c r="AJ2" s="315"/>
      <c r="AK2" s="297"/>
      <c r="AL2" s="312"/>
      <c r="AM2" s="312"/>
      <c r="AN2" s="312"/>
      <c r="AO2" s="312"/>
      <c r="AP2" s="312"/>
      <c r="AQ2" s="312"/>
      <c r="AR2" s="312"/>
      <c r="AS2" s="312"/>
      <c r="AT2" s="297"/>
      <c r="AU2" s="297"/>
      <c r="AV2" s="233"/>
      <c r="AW2" s="233"/>
      <c r="AX2" s="233"/>
      <c r="AY2" s="233"/>
      <c r="AZ2" s="233"/>
      <c r="BA2" s="233"/>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c r="DB2" s="300"/>
      <c r="DC2" s="300"/>
      <c r="DD2" s="300"/>
      <c r="DE2" s="300"/>
      <c r="DF2" s="300"/>
      <c r="DG2" s="300"/>
      <c r="DH2" s="297"/>
      <c r="DI2" s="297"/>
      <c r="DJ2" s="297"/>
      <c r="DK2" s="299"/>
      <c r="DL2" s="299"/>
      <c r="DM2" s="299"/>
      <c r="DN2" s="299"/>
      <c r="DO2" s="299"/>
      <c r="DP2" s="299"/>
      <c r="DQ2" s="299"/>
      <c r="DR2" s="299"/>
      <c r="DS2" s="299"/>
      <c r="DT2" s="299"/>
      <c r="DU2" s="299"/>
      <c r="DV2" s="299"/>
      <c r="DW2" s="299"/>
      <c r="DX2" s="299"/>
      <c r="DY2" s="299"/>
      <c r="DZ2" s="299"/>
      <c r="EA2" s="299"/>
      <c r="EB2" s="299"/>
      <c r="EC2" s="299"/>
      <c r="ED2" s="299"/>
      <c r="EE2" s="299"/>
      <c r="EF2" s="299"/>
      <c r="EG2" s="299"/>
      <c r="EH2" s="299"/>
      <c r="EI2" s="299"/>
      <c r="EJ2" s="299"/>
      <c r="EK2" s="347"/>
      <c r="EL2" s="347"/>
      <c r="EM2" s="301"/>
      <c r="EN2" s="301"/>
      <c r="EO2" s="301"/>
      <c r="EP2" s="301"/>
      <c r="EQ2" s="301"/>
      <c r="ER2" s="252"/>
      <c r="ES2" s="348"/>
      <c r="ET2" s="331"/>
      <c r="EU2" s="331"/>
      <c r="EV2" s="331"/>
      <c r="EW2" s="331"/>
      <c r="EX2" s="331"/>
      <c r="EY2" s="331"/>
      <c r="EZ2" s="331"/>
      <c r="FA2" s="331"/>
      <c r="FB2" s="331"/>
      <c r="FC2" s="331"/>
      <c r="FD2" s="331"/>
      <c r="FE2" s="331"/>
      <c r="FF2" s="331"/>
      <c r="FG2" s="331"/>
      <c r="FH2" s="331"/>
      <c r="FI2" s="331"/>
      <c r="FJ2" s="331"/>
      <c r="FK2" s="331"/>
      <c r="FL2" s="331"/>
      <c r="FM2" s="331"/>
      <c r="FN2" s="331"/>
      <c r="FO2" s="331"/>
      <c r="FP2" s="331"/>
      <c r="FQ2" s="331"/>
      <c r="FR2" s="331"/>
      <c r="FS2" s="331"/>
      <c r="FT2" s="331"/>
      <c r="FU2" s="331"/>
      <c r="FV2" s="331"/>
      <c r="FW2" s="331"/>
      <c r="FX2" s="331"/>
      <c r="FY2" s="331"/>
      <c r="FZ2" s="331"/>
      <c r="GA2" s="331"/>
      <c r="GB2" s="331"/>
      <c r="GC2" s="331"/>
      <c r="GD2" s="331"/>
      <c r="GE2" s="331"/>
      <c r="GF2" s="331"/>
      <c r="GG2" s="331"/>
      <c r="GH2" s="331"/>
      <c r="GI2" s="331"/>
      <c r="GJ2" s="331"/>
      <c r="GK2" s="331"/>
      <c r="GL2" s="331"/>
      <c r="GM2" s="331"/>
      <c r="GN2" s="331"/>
      <c r="GO2" s="331"/>
      <c r="GP2" s="331"/>
      <c r="GQ2" s="331"/>
      <c r="GR2" s="331"/>
      <c r="GS2" s="331"/>
      <c r="GT2" s="331"/>
      <c r="GU2" s="331"/>
      <c r="GV2" s="331"/>
      <c r="GW2" s="331"/>
      <c r="GX2" s="331"/>
      <c r="GY2" s="331"/>
      <c r="GZ2" s="331"/>
      <c r="HA2" s="331"/>
      <c r="HB2" s="331"/>
      <c r="HC2" s="331"/>
      <c r="HD2" s="331"/>
      <c r="HE2" s="331"/>
      <c r="HF2" s="331"/>
      <c r="HG2" s="331"/>
      <c r="HH2" s="331"/>
      <c r="HI2" s="331"/>
      <c r="HJ2" s="331"/>
      <c r="HK2" s="331"/>
      <c r="HL2" s="331"/>
      <c r="HM2" s="331"/>
      <c r="HN2" s="331"/>
      <c r="HO2" s="331"/>
      <c r="HP2" s="331"/>
      <c r="HQ2" s="331"/>
      <c r="HR2" s="331"/>
      <c r="HS2" s="331"/>
      <c r="HT2" s="331"/>
      <c r="HU2" s="331"/>
      <c r="HV2" s="331"/>
      <c r="HW2" s="331"/>
      <c r="HX2" s="331"/>
      <c r="HY2" s="331"/>
      <c r="HZ2" s="331"/>
      <c r="IA2" s="331"/>
      <c r="IB2" s="331"/>
      <c r="IC2" s="331"/>
      <c r="ID2" s="331"/>
      <c r="IE2" s="331"/>
      <c r="IF2" s="331"/>
      <c r="IG2" s="331"/>
      <c r="IH2" s="331"/>
      <c r="II2" s="331"/>
      <c r="IJ2" s="331"/>
      <c r="IK2" s="331"/>
      <c r="IL2" s="331"/>
      <c r="IM2" s="331"/>
      <c r="IN2" s="331"/>
      <c r="IO2" s="331"/>
      <c r="IP2" s="331"/>
      <c r="IQ2" s="331"/>
      <c r="IR2" s="331"/>
      <c r="IS2" s="332"/>
      <c r="IT2" s="332"/>
      <c r="IU2" s="332"/>
    </row>
    <row r="3" spans="1:255" s="333" customFormat="1" ht="19.5" customHeight="1">
      <c r="A3" s="350" t="s">
        <v>17</v>
      </c>
      <c r="B3" s="335" t="s">
        <v>248</v>
      </c>
      <c r="C3" s="335" t="s">
        <v>486</v>
      </c>
      <c r="D3" s="335" t="s">
        <v>491</v>
      </c>
      <c r="E3" s="335" t="s">
        <v>484</v>
      </c>
      <c r="F3" s="335" t="s">
        <v>492</v>
      </c>
      <c r="G3" s="224" t="s">
        <v>363</v>
      </c>
      <c r="H3" s="336" t="s">
        <v>278</v>
      </c>
      <c r="I3" s="336" t="s">
        <v>279</v>
      </c>
      <c r="J3" s="336" t="s">
        <v>280</v>
      </c>
      <c r="K3" s="337" t="s">
        <v>281</v>
      </c>
      <c r="L3" s="312" t="s">
        <v>282</v>
      </c>
      <c r="M3" s="312" t="s">
        <v>283</v>
      </c>
      <c r="N3" s="312" t="s">
        <v>284</v>
      </c>
      <c r="O3" s="338" t="s">
        <v>285</v>
      </c>
      <c r="P3" s="339" t="s">
        <v>286</v>
      </c>
      <c r="Q3" s="339" t="s">
        <v>287</v>
      </c>
      <c r="R3" s="340" t="s">
        <v>288</v>
      </c>
      <c r="S3" s="341" t="s">
        <v>289</v>
      </c>
      <c r="T3" s="341" t="s">
        <v>290</v>
      </c>
      <c r="U3" s="342" t="s">
        <v>291</v>
      </c>
      <c r="V3" s="343" t="s">
        <v>292</v>
      </c>
      <c r="W3" s="343" t="s">
        <v>293</v>
      </c>
      <c r="X3" s="343" t="s">
        <v>294</v>
      </c>
      <c r="Y3" s="344" t="s">
        <v>355</v>
      </c>
      <c r="Z3" s="345" t="s">
        <v>356</v>
      </c>
      <c r="AA3" s="345" t="s">
        <v>357</v>
      </c>
      <c r="AB3" s="345" t="s">
        <v>358</v>
      </c>
      <c r="AC3" s="285" t="s">
        <v>373</v>
      </c>
      <c r="AD3" s="225" t="s">
        <v>249</v>
      </c>
      <c r="AE3" s="225" t="s">
        <v>244</v>
      </c>
      <c r="AF3" s="225" t="s">
        <v>250</v>
      </c>
      <c r="AG3" s="225" t="s">
        <v>251</v>
      </c>
      <c r="AH3" s="225" t="s">
        <v>252</v>
      </c>
      <c r="AI3" s="225" t="s">
        <v>263</v>
      </c>
      <c r="AJ3" s="334"/>
      <c r="AK3" s="297" t="s">
        <v>380</v>
      </c>
      <c r="AL3" s="312" t="s">
        <v>248</v>
      </c>
      <c r="AM3" s="312" t="s">
        <v>486</v>
      </c>
      <c r="AN3" s="312" t="s">
        <v>489</v>
      </c>
      <c r="AO3" s="312" t="s">
        <v>484</v>
      </c>
      <c r="AP3" s="312" t="s">
        <v>490</v>
      </c>
      <c r="AQ3" s="312" t="s">
        <v>363</v>
      </c>
      <c r="AR3" s="297" t="s">
        <v>381</v>
      </c>
      <c r="AS3" s="297" t="s">
        <v>382</v>
      </c>
      <c r="AT3" s="297" t="s">
        <v>383</v>
      </c>
      <c r="AU3" s="297" t="s">
        <v>384</v>
      </c>
      <c r="AV3" s="233" t="s">
        <v>385</v>
      </c>
      <c r="AW3" s="233" t="s">
        <v>386</v>
      </c>
      <c r="AX3" s="233" t="s">
        <v>387</v>
      </c>
      <c r="AY3" s="233" t="s">
        <v>388</v>
      </c>
      <c r="AZ3" s="233" t="s">
        <v>389</v>
      </c>
      <c r="BA3" s="233" t="s">
        <v>390</v>
      </c>
      <c r="BB3" s="300" t="s">
        <v>391</v>
      </c>
      <c r="BC3" s="300" t="s">
        <v>392</v>
      </c>
      <c r="BD3" s="300" t="s">
        <v>393</v>
      </c>
      <c r="BE3" s="300" t="s">
        <v>394</v>
      </c>
      <c r="BF3" s="300" t="s">
        <v>395</v>
      </c>
      <c r="BG3" s="300" t="s">
        <v>396</v>
      </c>
      <c r="BH3" s="300" t="s">
        <v>397</v>
      </c>
      <c r="BI3" s="300" t="s">
        <v>398</v>
      </c>
      <c r="BJ3" s="300" t="s">
        <v>399</v>
      </c>
      <c r="BK3" s="300" t="s">
        <v>400</v>
      </c>
      <c r="BL3" s="300" t="s">
        <v>401</v>
      </c>
      <c r="BM3" s="300" t="s">
        <v>402</v>
      </c>
      <c r="BN3" s="300" t="s">
        <v>403</v>
      </c>
      <c r="BO3" s="300" t="s">
        <v>404</v>
      </c>
      <c r="BP3" s="300" t="s">
        <v>405</v>
      </c>
      <c r="BQ3" s="300" t="s">
        <v>406</v>
      </c>
      <c r="BR3" s="300" t="s">
        <v>407</v>
      </c>
      <c r="BS3" s="300" t="s">
        <v>408</v>
      </c>
      <c r="BT3" s="300" t="s">
        <v>409</v>
      </c>
      <c r="BU3" s="300" t="s">
        <v>410</v>
      </c>
      <c r="BV3" s="300" t="s">
        <v>411</v>
      </c>
      <c r="BW3" s="300" t="s">
        <v>412</v>
      </c>
      <c r="BX3" s="300" t="s">
        <v>413</v>
      </c>
      <c r="BY3" s="300" t="s">
        <v>414</v>
      </c>
      <c r="BZ3" s="300" t="s">
        <v>415</v>
      </c>
      <c r="CA3" s="300" t="s">
        <v>416</v>
      </c>
      <c r="CB3" s="300" t="s">
        <v>417</v>
      </c>
      <c r="CC3" s="300" t="s">
        <v>418</v>
      </c>
      <c r="CD3" s="300" t="s">
        <v>419</v>
      </c>
      <c r="CE3" s="300" t="s">
        <v>420</v>
      </c>
      <c r="CF3" s="300" t="s">
        <v>421</v>
      </c>
      <c r="CG3" s="300" t="s">
        <v>422</v>
      </c>
      <c r="CH3" s="300" t="s">
        <v>423</v>
      </c>
      <c r="CI3" s="300" t="s">
        <v>424</v>
      </c>
      <c r="CJ3" s="300" t="s">
        <v>425</v>
      </c>
      <c r="CK3" s="300" t="s">
        <v>426</v>
      </c>
      <c r="CL3" s="300" t="s">
        <v>427</v>
      </c>
      <c r="CM3" s="300" t="s">
        <v>428</v>
      </c>
      <c r="CN3" s="300" t="s">
        <v>429</v>
      </c>
      <c r="CO3" s="300" t="s">
        <v>430</v>
      </c>
      <c r="CP3" s="300" t="s">
        <v>431</v>
      </c>
      <c r="CQ3" s="300" t="s">
        <v>432</v>
      </c>
      <c r="CR3" s="300" t="s">
        <v>433</v>
      </c>
      <c r="CS3" s="300" t="s">
        <v>434</v>
      </c>
      <c r="CT3" s="300" t="s">
        <v>435</v>
      </c>
      <c r="CU3" s="300" t="s">
        <v>436</v>
      </c>
      <c r="CV3" s="300" t="s">
        <v>437</v>
      </c>
      <c r="CW3" s="300" t="s">
        <v>438</v>
      </c>
      <c r="CX3" s="300" t="s">
        <v>439</v>
      </c>
      <c r="CY3" s="300" t="s">
        <v>440</v>
      </c>
      <c r="CZ3" s="300" t="s">
        <v>441</v>
      </c>
      <c r="DA3" s="300" t="s">
        <v>442</v>
      </c>
      <c r="DB3" s="300" t="s">
        <v>443</v>
      </c>
      <c r="DC3" s="300" t="s">
        <v>444</v>
      </c>
      <c r="DD3" s="300" t="s">
        <v>445</v>
      </c>
      <c r="DE3" s="300" t="s">
        <v>362</v>
      </c>
      <c r="DF3" s="300" t="s">
        <v>446</v>
      </c>
      <c r="DG3" s="300" t="s">
        <v>447</v>
      </c>
      <c r="DH3" s="297" t="s">
        <v>448</v>
      </c>
      <c r="DI3" s="297" t="s">
        <v>199</v>
      </c>
      <c r="DJ3" s="297" t="s">
        <v>449</v>
      </c>
      <c r="DK3" s="299" t="s">
        <v>450</v>
      </c>
      <c r="DL3" s="299" t="s">
        <v>451</v>
      </c>
      <c r="DM3" s="299" t="s">
        <v>452</v>
      </c>
      <c r="DN3" s="299" t="s">
        <v>453</v>
      </c>
      <c r="DO3" s="299" t="s">
        <v>454</v>
      </c>
      <c r="DP3" s="299" t="s">
        <v>455</v>
      </c>
      <c r="DQ3" s="299" t="s">
        <v>456</v>
      </c>
      <c r="DR3" s="299" t="s">
        <v>457</v>
      </c>
      <c r="DS3" s="299" t="s">
        <v>458</v>
      </c>
      <c r="DT3" s="299" t="s">
        <v>459</v>
      </c>
      <c r="DU3" s="299" t="s">
        <v>460</v>
      </c>
      <c r="DV3" s="299" t="s">
        <v>461</v>
      </c>
      <c r="DW3" s="299" t="s">
        <v>462</v>
      </c>
      <c r="DX3" s="299" t="s">
        <v>463</v>
      </c>
      <c r="DY3" s="299" t="s">
        <v>464</v>
      </c>
      <c r="DZ3" s="299" t="s">
        <v>465</v>
      </c>
      <c r="EA3" s="299" t="s">
        <v>466</v>
      </c>
      <c r="EB3" s="299" t="s">
        <v>467</v>
      </c>
      <c r="EC3" s="299" t="s">
        <v>468</v>
      </c>
      <c r="ED3" s="299" t="s">
        <v>469</v>
      </c>
      <c r="EE3" s="299" t="s">
        <v>470</v>
      </c>
      <c r="EF3" s="299" t="s">
        <v>471</v>
      </c>
      <c r="EG3" s="299" t="s">
        <v>472</v>
      </c>
      <c r="EH3" s="299" t="s">
        <v>473</v>
      </c>
      <c r="EI3" s="299" t="s">
        <v>474</v>
      </c>
      <c r="EJ3" s="299" t="s">
        <v>475</v>
      </c>
      <c r="EK3" s="299" t="s">
        <v>495</v>
      </c>
      <c r="EL3" s="299" t="s">
        <v>476</v>
      </c>
      <c r="EM3" s="301" t="s">
        <v>477</v>
      </c>
      <c r="EN3" s="301" t="s">
        <v>478</v>
      </c>
      <c r="EO3" s="301" t="s">
        <v>479</v>
      </c>
      <c r="EP3" s="301" t="s">
        <v>480</v>
      </c>
      <c r="EQ3" s="301" t="s">
        <v>481</v>
      </c>
      <c r="ER3" s="301" t="s">
        <v>482</v>
      </c>
      <c r="ES3" s="301" t="s">
        <v>368</v>
      </c>
      <c r="ET3" s="349"/>
      <c r="EU3" s="331"/>
      <c r="EV3" s="331"/>
      <c r="EW3" s="331"/>
      <c r="EX3" s="331"/>
      <c r="EY3" s="331"/>
      <c r="EZ3" s="331"/>
      <c r="FA3" s="331"/>
      <c r="FB3" s="331"/>
      <c r="FC3" s="331"/>
      <c r="FD3" s="331"/>
      <c r="FE3" s="331"/>
      <c r="FF3" s="331"/>
      <c r="FG3" s="331"/>
      <c r="FH3" s="331"/>
      <c r="FI3" s="331"/>
      <c r="FJ3" s="331"/>
      <c r="FK3" s="331"/>
      <c r="FL3" s="331"/>
      <c r="FM3" s="331"/>
      <c r="FN3" s="331"/>
      <c r="FO3" s="331"/>
      <c r="FP3" s="331"/>
      <c r="FQ3" s="331"/>
      <c r="FR3" s="331"/>
      <c r="FS3" s="331"/>
      <c r="FT3" s="331"/>
      <c r="FU3" s="331"/>
      <c r="FV3" s="331"/>
      <c r="FW3" s="331"/>
      <c r="FX3" s="331"/>
      <c r="FY3" s="331"/>
      <c r="FZ3" s="331"/>
      <c r="GA3" s="331"/>
      <c r="GB3" s="331"/>
      <c r="GC3" s="331"/>
      <c r="GD3" s="331"/>
      <c r="GE3" s="331"/>
      <c r="GF3" s="331"/>
      <c r="GG3" s="331"/>
      <c r="GH3" s="331"/>
      <c r="GI3" s="331"/>
      <c r="GJ3" s="331"/>
      <c r="GK3" s="331"/>
      <c r="GL3" s="331"/>
      <c r="GM3" s="331"/>
      <c r="GN3" s="331"/>
      <c r="GO3" s="331"/>
      <c r="GP3" s="331"/>
      <c r="GQ3" s="331"/>
      <c r="GR3" s="331"/>
      <c r="GS3" s="331"/>
      <c r="GT3" s="331"/>
      <c r="GU3" s="331"/>
      <c r="GV3" s="331"/>
      <c r="GW3" s="331"/>
      <c r="GX3" s="331"/>
      <c r="GY3" s="331"/>
      <c r="GZ3" s="331"/>
      <c r="HA3" s="331"/>
      <c r="HB3" s="331"/>
      <c r="HC3" s="331"/>
      <c r="HD3" s="331"/>
      <c r="HE3" s="331"/>
      <c r="HF3" s="331"/>
      <c r="HG3" s="331"/>
      <c r="HH3" s="331"/>
      <c r="HI3" s="331"/>
      <c r="HJ3" s="331"/>
      <c r="HK3" s="331"/>
      <c r="HL3" s="331"/>
      <c r="HM3" s="331"/>
      <c r="HN3" s="331"/>
      <c r="HO3" s="331"/>
      <c r="HP3" s="331"/>
      <c r="HQ3" s="331"/>
      <c r="HR3" s="331"/>
      <c r="HS3" s="331"/>
      <c r="HT3" s="331"/>
      <c r="HU3" s="331"/>
      <c r="HV3" s="331"/>
      <c r="HW3" s="331"/>
      <c r="HX3" s="331"/>
      <c r="HY3" s="331"/>
      <c r="HZ3" s="331"/>
      <c r="IA3" s="331"/>
      <c r="IB3" s="331"/>
      <c r="IC3" s="331"/>
      <c r="ID3" s="331"/>
      <c r="IE3" s="331"/>
      <c r="IF3" s="331"/>
      <c r="IG3" s="331"/>
      <c r="IH3" s="331"/>
      <c r="II3" s="331"/>
      <c r="IJ3" s="331"/>
      <c r="IK3" s="331"/>
      <c r="IL3" s="331"/>
      <c r="IM3" s="331"/>
      <c r="IN3" s="331"/>
      <c r="IO3" s="331"/>
      <c r="IP3" s="331"/>
      <c r="IQ3" s="331"/>
      <c r="IR3" s="331"/>
      <c r="IS3" s="332"/>
      <c r="IT3" s="332"/>
      <c r="IU3" s="332"/>
    </row>
    <row r="4" spans="1:255" s="333" customFormat="1" ht="19.5" customHeight="1">
      <c r="A4" s="315"/>
      <c r="B4" s="316"/>
      <c r="C4" s="317"/>
      <c r="D4" s="317"/>
      <c r="E4" s="317"/>
      <c r="F4" s="317"/>
      <c r="G4" s="318"/>
      <c r="H4" s="319"/>
      <c r="I4" s="319"/>
      <c r="J4" s="319"/>
      <c r="K4" s="320"/>
      <c r="L4" s="321"/>
      <c r="M4" s="321"/>
      <c r="N4" s="321"/>
      <c r="O4" s="322"/>
      <c r="P4" s="323"/>
      <c r="Q4" s="323"/>
      <c r="R4" s="324"/>
      <c r="S4" s="325"/>
      <c r="T4" s="325"/>
      <c r="U4" s="326"/>
      <c r="V4" s="327"/>
      <c r="W4" s="327"/>
      <c r="X4" s="328"/>
      <c r="Y4" s="329"/>
      <c r="Z4" s="330"/>
      <c r="AA4" s="330"/>
      <c r="AB4" s="330"/>
      <c r="AC4" s="315"/>
      <c r="AD4" s="315"/>
      <c r="AE4" s="315"/>
      <c r="AF4" s="315"/>
      <c r="AG4" s="315"/>
      <c r="AH4" s="315"/>
      <c r="AI4" s="315"/>
      <c r="AJ4" s="315"/>
      <c r="AK4" s="297"/>
      <c r="AL4" s="312"/>
      <c r="AM4" s="312"/>
      <c r="AN4" s="312"/>
      <c r="AO4" s="312"/>
      <c r="AP4" s="312"/>
      <c r="AQ4" s="312"/>
      <c r="AR4" s="312"/>
      <c r="AS4" s="312"/>
      <c r="AT4" s="297"/>
      <c r="AU4" s="297"/>
      <c r="AV4" s="233"/>
      <c r="AW4" s="233"/>
      <c r="AX4" s="233"/>
      <c r="AY4" s="233"/>
      <c r="AZ4" s="233"/>
      <c r="BA4" s="233"/>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0"/>
      <c r="CN4" s="300"/>
      <c r="CO4" s="300"/>
      <c r="CP4" s="300"/>
      <c r="CQ4" s="300"/>
      <c r="CR4" s="300"/>
      <c r="CS4" s="300"/>
      <c r="CT4" s="300"/>
      <c r="CU4" s="300"/>
      <c r="CV4" s="300"/>
      <c r="CW4" s="300"/>
      <c r="CX4" s="300"/>
      <c r="CY4" s="300"/>
      <c r="CZ4" s="300"/>
      <c r="DA4" s="300"/>
      <c r="DB4" s="300"/>
      <c r="DC4" s="300"/>
      <c r="DD4" s="300"/>
      <c r="DE4" s="300"/>
      <c r="DF4" s="300"/>
      <c r="DG4" s="300"/>
      <c r="DH4" s="297"/>
      <c r="DI4" s="297"/>
      <c r="DJ4" s="297"/>
      <c r="DK4" s="299"/>
      <c r="DL4" s="299"/>
      <c r="DM4" s="299"/>
      <c r="DN4" s="299"/>
      <c r="DO4" s="299"/>
      <c r="DP4" s="299"/>
      <c r="DQ4" s="299"/>
      <c r="DR4" s="299"/>
      <c r="DS4" s="299"/>
      <c r="DT4" s="299"/>
      <c r="DU4" s="299"/>
      <c r="DV4" s="299"/>
      <c r="DW4" s="299"/>
      <c r="DX4" s="299"/>
      <c r="DY4" s="299"/>
      <c r="DZ4" s="299"/>
      <c r="EA4" s="299"/>
      <c r="EB4" s="299"/>
      <c r="EC4" s="299"/>
      <c r="ED4" s="299"/>
      <c r="EE4" s="299"/>
      <c r="EF4" s="299"/>
      <c r="EG4" s="299"/>
      <c r="EH4" s="299"/>
      <c r="EI4" s="299"/>
      <c r="EJ4" s="299"/>
      <c r="EK4" s="347"/>
      <c r="EL4" s="347"/>
      <c r="EM4" s="301"/>
      <c r="EN4" s="301"/>
      <c r="EO4" s="301"/>
      <c r="EP4" s="301"/>
      <c r="EQ4" s="301"/>
      <c r="ER4" s="252"/>
      <c r="ES4" s="348"/>
      <c r="ET4" s="331"/>
      <c r="EU4" s="331"/>
      <c r="EV4" s="331"/>
      <c r="EW4" s="331"/>
      <c r="EX4" s="331"/>
      <c r="EY4" s="331"/>
      <c r="EZ4" s="331"/>
      <c r="FA4" s="331"/>
      <c r="FB4" s="331"/>
      <c r="FC4" s="331"/>
      <c r="FD4" s="331"/>
      <c r="FE4" s="331"/>
      <c r="FF4" s="331"/>
      <c r="FG4" s="331"/>
      <c r="FH4" s="331"/>
      <c r="FI4" s="331"/>
      <c r="FJ4" s="331"/>
      <c r="FK4" s="331"/>
      <c r="FL4" s="331"/>
      <c r="FM4" s="331"/>
      <c r="FN4" s="331"/>
      <c r="FO4" s="331"/>
      <c r="FP4" s="331"/>
      <c r="FQ4" s="331"/>
      <c r="FR4" s="331"/>
      <c r="FS4" s="331"/>
      <c r="FT4" s="331"/>
      <c r="FU4" s="331"/>
      <c r="FV4" s="331"/>
      <c r="FW4" s="331"/>
      <c r="FX4" s="331"/>
      <c r="FY4" s="331"/>
      <c r="FZ4" s="331"/>
      <c r="GA4" s="331"/>
      <c r="GB4" s="331"/>
      <c r="GC4" s="331"/>
      <c r="GD4" s="331"/>
      <c r="GE4" s="331"/>
      <c r="GF4" s="331"/>
      <c r="GG4" s="331"/>
      <c r="GH4" s="331"/>
      <c r="GI4" s="331"/>
      <c r="GJ4" s="331"/>
      <c r="GK4" s="331"/>
      <c r="GL4" s="331"/>
      <c r="GM4" s="331"/>
      <c r="GN4" s="331"/>
      <c r="GO4" s="331"/>
      <c r="GP4" s="331"/>
      <c r="GQ4" s="331"/>
      <c r="GR4" s="331"/>
      <c r="GS4" s="331"/>
      <c r="GT4" s="331"/>
      <c r="GU4" s="331"/>
      <c r="GV4" s="331"/>
      <c r="GW4" s="331"/>
      <c r="GX4" s="331"/>
      <c r="GY4" s="331"/>
      <c r="GZ4" s="331"/>
      <c r="HA4" s="331"/>
      <c r="HB4" s="331"/>
      <c r="HC4" s="331"/>
      <c r="HD4" s="331"/>
      <c r="HE4" s="331"/>
      <c r="HF4" s="331"/>
      <c r="HG4" s="331"/>
      <c r="HH4" s="331"/>
      <c r="HI4" s="331"/>
      <c r="HJ4" s="331"/>
      <c r="HK4" s="331"/>
      <c r="HL4" s="331"/>
      <c r="HM4" s="331"/>
      <c r="HN4" s="331"/>
      <c r="HO4" s="331"/>
      <c r="HP4" s="331"/>
      <c r="HQ4" s="331"/>
      <c r="HR4" s="331"/>
      <c r="HS4" s="331"/>
      <c r="HT4" s="331"/>
      <c r="HU4" s="331"/>
      <c r="HV4" s="331"/>
      <c r="HW4" s="331"/>
      <c r="HX4" s="331"/>
      <c r="HY4" s="331"/>
      <c r="HZ4" s="331"/>
      <c r="IA4" s="331"/>
      <c r="IB4" s="331"/>
      <c r="IC4" s="331"/>
      <c r="ID4" s="331"/>
      <c r="IE4" s="331"/>
      <c r="IF4" s="331"/>
      <c r="IG4" s="331"/>
      <c r="IH4" s="331"/>
      <c r="II4" s="331"/>
      <c r="IJ4" s="331"/>
      <c r="IK4" s="331"/>
      <c r="IL4" s="331"/>
      <c r="IM4" s="331"/>
      <c r="IN4" s="331"/>
      <c r="IO4" s="331"/>
      <c r="IP4" s="331"/>
      <c r="IQ4" s="331"/>
      <c r="IR4" s="331"/>
      <c r="IS4" s="332"/>
      <c r="IT4" s="332"/>
      <c r="IU4" s="332"/>
    </row>
  </sheetData>
  <printOptions/>
  <pageMargins left="0.75" right="0.75" top="1" bottom="1" header="0.4921259845" footer="0.4921259845"/>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Ministère de l'Equipement</dc:creator>
  <cp:keywords/>
  <dc:description/>
  <cp:lastModifiedBy>insmbr</cp:lastModifiedBy>
  <cp:lastPrinted>2009-11-10T11:03:52Z</cp:lastPrinted>
  <dcterms:created xsi:type="dcterms:W3CDTF">2003-01-24T10:29:50Z</dcterms:created>
  <dcterms:modified xsi:type="dcterms:W3CDTF">2010-02-11T16:17:03Z</dcterms:modified>
  <cp:category/>
  <cp:version/>
  <cp:contentType/>
  <cp:contentStatus/>
</cp:coreProperties>
</file>